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КС\ТЕНДЕРЫ\2024\огт Обустройство месторожд ОГТ и ГПР\2 Приглашения\Прил_огт Обустр месторожд ОГТ и ГПР\"/>
    </mc:Choice>
  </mc:AlternateContent>
  <xr:revisionPtr revIDLastSave="0" documentId="13_ncr:1_{6FBD9E4D-BC3B-4621-9503-F025CCEB4F41}" xr6:coauthVersionLast="36" xr6:coauthVersionMax="36" xr10:uidLastSave="{00000000-0000-0000-0000-000000000000}"/>
  <bookViews>
    <workbookView xWindow="-120" yWindow="-120" windowWidth="29040" windowHeight="15840" tabRatio="953" xr2:uid="{00000000-000D-0000-FFFF-FFFF00000000}"/>
  </bookViews>
  <sheets>
    <sheet name="Протокол" sheetId="2" r:id="rId1"/>
    <sheet name="СЗ к тенд" sheetId="19" r:id="rId2"/>
    <sheet name="Расшифровка ФИ" sheetId="10" state="hidden" r:id="rId3"/>
    <sheet name="Ответы на замечания" sheetId="11" state="hidden" r:id="rId4"/>
    <sheet name="Кальк-я к Расч№2" sheetId="15" state="hidden" r:id="rId5"/>
    <sheet name="гостиница (2)" sheetId="16" state="hidden" r:id="rId6"/>
    <sheet name="маршрут (2)" sheetId="17" state="hidden" r:id="rId7"/>
    <sheet name="перевозка рабочих (2)" sheetId="18" state="hidden" r:id="rId8"/>
  </sheets>
  <definedNames>
    <definedName name="bookmark2" localSheetId="2">'Расшифровка ФИ'!#REF!</definedName>
    <definedName name="_xlnm.Print_Area" localSheetId="0">Протокол!$A$1:$J$42</definedName>
    <definedName name="_xlnm.Print_Area" localSheetId="2">'Расшифровка ФИ'!$A$1:$D$23</definedName>
    <definedName name="_xlnm.Print_Area" localSheetId="1">'СЗ к тенд'!$A$2:$X$29</definedName>
  </definedNames>
  <calcPr calcId="191029"/>
</workbook>
</file>

<file path=xl/calcChain.xml><?xml version="1.0" encoding="utf-8"?>
<calcChain xmlns="http://schemas.openxmlformats.org/spreadsheetml/2006/main">
  <c r="J25" i="2" l="1"/>
  <c r="D21" i="2"/>
  <c r="D22" i="2"/>
  <c r="D20" i="2"/>
  <c r="D24" i="2"/>
  <c r="D15" i="2"/>
  <c r="D16" i="2"/>
  <c r="D17" i="2"/>
  <c r="D18" i="2"/>
  <c r="D14" i="2"/>
  <c r="J15" i="2" l="1"/>
  <c r="J16" i="2"/>
  <c r="J17" i="2"/>
  <c r="J18" i="2"/>
  <c r="J14" i="2"/>
  <c r="J24" i="2" l="1"/>
  <c r="J22" i="2"/>
  <c r="J21" i="2"/>
  <c r="J20" i="2"/>
  <c r="E13" i="2" l="1"/>
  <c r="F13" i="2"/>
  <c r="G13" i="2"/>
  <c r="H13" i="2"/>
  <c r="I13" i="2"/>
  <c r="D13" i="2"/>
  <c r="H19" i="2"/>
  <c r="G19" i="2"/>
  <c r="E19" i="2"/>
  <c r="D19" i="2"/>
  <c r="E23" i="2"/>
  <c r="F23" i="2"/>
  <c r="G23" i="2"/>
  <c r="H23" i="2"/>
  <c r="D23" i="2"/>
  <c r="D25" i="2" l="1"/>
  <c r="H25" i="2"/>
  <c r="G25" i="2"/>
  <c r="E25" i="2"/>
  <c r="J19" i="2"/>
  <c r="J13" i="2" l="1"/>
  <c r="I19" i="2"/>
  <c r="F19" i="2"/>
  <c r="F25" i="2" s="1"/>
  <c r="F26" i="2" s="1"/>
  <c r="F27" i="2" s="1"/>
  <c r="J23" i="2" l="1"/>
  <c r="I23" i="2"/>
  <c r="I25" i="2" s="1"/>
  <c r="D6" i="18" l="1"/>
  <c r="D10" i="18" s="1"/>
  <c r="I9" i="15"/>
  <c r="I8" i="15"/>
  <c r="I7" i="15"/>
  <c r="C13" i="10"/>
  <c r="E23" i="10"/>
  <c r="C22" i="10"/>
  <c r="D16" i="10"/>
  <c r="D15" i="10"/>
  <c r="D14" i="10"/>
  <c r="D13" i="10"/>
  <c r="C11" i="10"/>
  <c r="C20" i="10" s="1"/>
  <c r="C10" i="10"/>
  <c r="C8" i="10"/>
  <c r="A4" i="10"/>
  <c r="I10" i="15" l="1"/>
  <c r="I12" i="15" s="1"/>
  <c r="I14" i="15" s="1"/>
  <c r="C14" i="10"/>
  <c r="C9" i="10"/>
  <c r="C15" i="10"/>
  <c r="C19" i="10"/>
  <c r="I13" i="15" l="1"/>
  <c r="I15" i="15" s="1"/>
  <c r="C16" i="10" l="1"/>
  <c r="C12" i="10" s="1"/>
  <c r="C17" i="10" s="1"/>
  <c r="C18" i="10" s="1"/>
  <c r="C23" i="10" s="1"/>
  <c r="E26" i="2" l="1"/>
  <c r="E27" i="2" s="1"/>
  <c r="J26" i="2" l="1"/>
  <c r="J27" i="2" s="1"/>
  <c r="G26" i="2"/>
  <c r="G27" i="2" s="1"/>
  <c r="H26" i="2" l="1"/>
  <c r="H27" i="2" s="1"/>
  <c r="I26" i="2" l="1"/>
  <c r="I27" i="2" s="1"/>
  <c r="D26" i="2" l="1"/>
  <c r="D27" i="2" l="1"/>
</calcChain>
</file>

<file path=xl/sharedStrings.xml><?xml version="1.0" encoding="utf-8"?>
<sst xmlns="http://schemas.openxmlformats.org/spreadsheetml/2006/main" count="256" uniqueCount="194">
  <si>
    <t>Всего</t>
  </si>
  <si>
    <t xml:space="preserve">«Обустройство Ашировского и Малокинельского лицензионных участков на 2024г.» </t>
  </si>
  <si>
    <t>№ п/п</t>
  </si>
  <si>
    <t>№ сметы</t>
  </si>
  <si>
    <t>Наименование работ</t>
  </si>
  <si>
    <t>Стоимость работ по смете, руб.</t>
  </si>
  <si>
    <t>Дополнительные затраты подрядчика за итогами сметы в текущих ценах в соответствии с расчетами подрядчика, руб.</t>
  </si>
  <si>
    <t>1.1</t>
  </si>
  <si>
    <t>1.2</t>
  </si>
  <si>
    <t>Всего, руб без НДС</t>
  </si>
  <si>
    <t xml:space="preserve">НДС 20% </t>
  </si>
  <si>
    <t>Итого по объектам с НДС</t>
  </si>
  <si>
    <t>Производство работ в зимнее время</t>
  </si>
  <si>
    <t>Ф.Ф.Шайхутдинов</t>
  </si>
  <si>
    <t>Директор ООО "Спецстрой"</t>
  </si>
  <si>
    <t>Наименование затрат</t>
  </si>
  <si>
    <t>по объекту</t>
  </si>
  <si>
    <t>Расчет перевозки рабочих на объект и обратно</t>
  </si>
  <si>
    <t>Наименование</t>
  </si>
  <si>
    <t>ед.изм</t>
  </si>
  <si>
    <t>кол-во</t>
  </si>
  <si>
    <t>расстояние от места проживания до объекта</t>
  </si>
  <si>
    <t>км</t>
  </si>
  <si>
    <t>среднетехническая скорость движения УАЗ</t>
  </si>
  <si>
    <t>км/час</t>
  </si>
  <si>
    <t xml:space="preserve">время в пути </t>
  </si>
  <si>
    <t>час</t>
  </si>
  <si>
    <t>количество рабочих, ежедневно перевозимых в смену</t>
  </si>
  <si>
    <t>чел</t>
  </si>
  <si>
    <t xml:space="preserve">стоимость 1-го маш-часа работы УАЗ </t>
  </si>
  <si>
    <t>руб</t>
  </si>
  <si>
    <t>Стоимость перевозки   чел.день составит</t>
  </si>
  <si>
    <t>- для  перевозки рабочих используется автомобиль УАЗ:</t>
  </si>
  <si>
    <t xml:space="preserve">- тарифная ставка на транспортные услуги  УАЗ на 1 час </t>
  </si>
  <si>
    <t>3</t>
  </si>
  <si>
    <r>
      <t xml:space="preserve">ПРОТОКОЛ
</t>
    </r>
    <r>
      <rPr>
        <sz val="14"/>
        <color theme="1"/>
        <rFont val="Times New Roman"/>
        <family val="1"/>
        <charset val="204"/>
      </rPr>
      <t>договорной стоимости</t>
    </r>
  </si>
  <si>
    <t>3.1</t>
  </si>
  <si>
    <t>РАСШИФРОВКА</t>
  </si>
  <si>
    <t xml:space="preserve">стоимости строительно-монтажных работ </t>
  </si>
  <si>
    <t>(наименование объекта)</t>
  </si>
  <si>
    <t>№ п.п</t>
  </si>
  <si>
    <t>Стоимость с учетом НДС, руб.</t>
  </si>
  <si>
    <t>Примечание</t>
  </si>
  <si>
    <t>Договор 306ОГТ/23 от , руб с НДС</t>
  </si>
  <si>
    <t>Сметная стоимость по ВР к тендеру, в том числе:</t>
  </si>
  <si>
    <t>СМР(услуги)</t>
  </si>
  <si>
    <t>На основании ВР к тендеру; в уровне цен на 1 кв. 2024</t>
  </si>
  <si>
    <t>Материалы</t>
  </si>
  <si>
    <t>Оборудование</t>
  </si>
  <si>
    <t>Затраты, не учтенные в СД к тендеру:</t>
  </si>
  <si>
    <t>Командировоч- ные расходы и проживание</t>
  </si>
  <si>
    <t>Ежедневная перевозка рабочих туда-обратно на чел-день</t>
  </si>
  <si>
    <t>-</t>
  </si>
  <si>
    <t>Перебазировка техники  (туда-обратно)*</t>
  </si>
  <si>
    <t>Итого стоимость коммерческого предложения, в том числе:</t>
  </si>
  <si>
    <t>п.1+п.2</t>
  </si>
  <si>
    <t>СМР</t>
  </si>
  <si>
    <t>Справочно:</t>
  </si>
  <si>
    <t>ТЗ по СД без усложн. факторов</t>
  </si>
  <si>
    <t>Расчетная приведенная стоимость</t>
  </si>
  <si>
    <t>Ответ на замечания по Заключению № 62 от 13.03.2024</t>
  </si>
  <si>
    <t>№ ЛСР</t>
  </si>
  <si>
    <t>Замечание</t>
  </si>
  <si>
    <t>Ответ подрядчика</t>
  </si>
  <si>
    <t>ЛСР № 02-01-03 Площадка МБСНУ. Малокинельский ЛУ.</t>
  </si>
  <si>
    <t>Пункт 102 - ФЕРм08-02-412-05 заменена на расценку ФЕРм08-02-412-04 (ведомость объемов работ №3 - кабель силовой с медными жилами ВВГht(A)-LS 4x25-660").</t>
  </si>
  <si>
    <t>Принято</t>
  </si>
  <si>
    <t>ЛСР № 02-01-04 АГЗУ на скважине №4 и ЛСР № 02-01-05 АГЗУ на скважине №5.</t>
  </si>
  <si>
    <t>Пункт 1 - применен коэф - 0,85 (при перемещении бульдозерами ранее разработанных разрыхленных грунтов).</t>
  </si>
  <si>
    <t>ЛСР № 02-02-03, №02-02-04, №02-02-05, №02-02-06 Водоводы.</t>
  </si>
  <si>
    <t>Пункт 1 - применен коэф - 0,85 (при перемещении бульдозерами ранее разработанных разрыхленных грунтов)</t>
  </si>
  <si>
    <t>Пункты 2 - откорректирован коэффициент с 3,8 до 1,4 к расценке ФЕР01-01-030-14 (перемещение разработанного грунта должно быть 24м, а не 48м) - в п.2 Ведомостей объемов работ №№8-11 допущена ошибка, т.к. согласно п.4 ВОР перемещение возвращенного плодородного грунта указан 24м.</t>
  </si>
  <si>
    <t>Затраты на проживание рабочих во всех ЛСР с 1500 руб в сутки изменены на 1 200 руб. в сутки, согласно тарифа гостиницы "Степные огни" (село Матвеевка Оренбургская обл.) на дату проведения экспертизы.</t>
  </si>
  <si>
    <t>Не принято</t>
  </si>
  <si>
    <t>СД к КП пересчитана на 1 кв 2024 г</t>
  </si>
  <si>
    <t>к Расчету №2</t>
  </si>
  <si>
    <t>КАЛЬКУЛЯЦИЯ</t>
  </si>
  <si>
    <t>стоимости затрат по статье заработная плата такелажников на погрузке/разгрузке техники</t>
  </si>
  <si>
    <t>Обоснование</t>
  </si>
  <si>
    <t>Механизмы</t>
  </si>
  <si>
    <t>ед изм</t>
  </si>
  <si>
    <t>к-во</t>
  </si>
  <si>
    <t>масса ед-цы, кг</t>
  </si>
  <si>
    <t>Затраты труда, чел.-ч</t>
  </si>
  <si>
    <t>Погрузка</t>
  </si>
  <si>
    <t>Разгрузка</t>
  </si>
  <si>
    <r>
      <rPr>
        <b/>
        <sz val="11"/>
        <color theme="1"/>
        <rFont val="Times New Roman"/>
        <family val="1"/>
        <charset val="204"/>
      </rPr>
      <t>ЕНИР 25, табл. 2</t>
    </r>
    <r>
      <rPr>
        <sz val="11"/>
        <color theme="1"/>
        <rFont val="Times New Roman"/>
        <family val="1"/>
        <charset val="204"/>
      </rPr>
      <t xml:space="preserve"> (п. 15 г / 15 б)</t>
    </r>
  </si>
  <si>
    <t xml:space="preserve">трубоукладчик ТО 12-24Е </t>
  </si>
  <si>
    <t>шт</t>
  </si>
  <si>
    <t>(п. 13 б/13г)</t>
  </si>
  <si>
    <t xml:space="preserve">бульдозер  Shantui  SD16L </t>
  </si>
  <si>
    <t>(п. 17б/17г)</t>
  </si>
  <si>
    <t xml:space="preserve">экскаватор Hitachi ZX670LCR 3 </t>
  </si>
  <si>
    <t>Итого:</t>
  </si>
  <si>
    <t>Средняя часовая тарифная ставка, руб (Приказ по предприятию)</t>
  </si>
  <si>
    <t>Заработная плата</t>
  </si>
  <si>
    <t>Накладные расходы 120%</t>
  </si>
  <si>
    <t>Сметная прибыль 65%</t>
  </si>
  <si>
    <t>Всего:</t>
  </si>
  <si>
    <t>Директор ООО "Спецстрой"                                                          Ф.Ф.Шайхутдинов</t>
  </si>
  <si>
    <t>Итого стоимость работ с учетом дополнительных затрат подрядчика, руб.</t>
  </si>
  <si>
    <t>2.1</t>
  </si>
  <si>
    <t>2.2</t>
  </si>
  <si>
    <t>2.4</t>
  </si>
  <si>
    <t>Площадка МБСНУ</t>
  </si>
  <si>
    <t>1.3</t>
  </si>
  <si>
    <t>наименование затрат</t>
  </si>
  <si>
    <r>
      <t>выполнение строительно-монтажных работ по объектам</t>
    </r>
    <r>
      <rPr>
        <b/>
        <sz val="14"/>
        <color theme="1"/>
        <rFont val="Times New Roman"/>
        <family val="1"/>
        <charset val="204"/>
      </rPr>
      <t xml:space="preserve">
</t>
    </r>
  </si>
  <si>
    <t>Приложение А</t>
  </si>
  <si>
    <t>к Техническому заданию</t>
  </si>
  <si>
    <t>02-01-01</t>
  </si>
  <si>
    <t>1.4</t>
  </si>
  <si>
    <t>1.5</t>
  </si>
  <si>
    <t>02-01-02</t>
  </si>
  <si>
    <t>02-01-03</t>
  </si>
  <si>
    <t>02-01-04</t>
  </si>
  <si>
    <t>02-01-05</t>
  </si>
  <si>
    <t>02-02-01</t>
  </si>
  <si>
    <t>02-02-02</t>
  </si>
  <si>
    <t>02-02-03</t>
  </si>
  <si>
    <t>02-03-01</t>
  </si>
  <si>
    <t>Системы ППД</t>
  </si>
  <si>
    <t>Площадки скважин. Обустройство</t>
  </si>
  <si>
    <t>АГЗУ</t>
  </si>
  <si>
    <t>Выкидные трубопроводы</t>
  </si>
  <si>
    <t>«Обустройство Ашировского и Малокинельского лицензионных участков АО «Ойлгазтэт»,
«Обустройство Александровского лицензионного участка ООО «ГЕОПРОГРЕСС»,
«Обустройство Озерного месторождения ООО «Сакмараинвестнефть».</t>
  </si>
  <si>
    <t>Обустройство Ашировского и Малокинельского лицензионных участков АО «Ойлгазтэт»</t>
  </si>
  <si>
    <t>Обустройство Александровского лицензионного участка ООО «ГЕОПРОГРЕСС»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</si>
  <si>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</si>
  <si>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</si>
  <si>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</si>
  <si>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</si>
  <si>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</si>
  <si>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Примечание: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</si>
  <si>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подрядчиком на основании разработанных им ЛСР согласно ТЗ и в текущем уровне цен;</t>
    </r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</si>
  <si>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</si>
  <si>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Директор_____________________________</t>
  </si>
  <si>
    <t xml:space="preserve">                                     М.П.</t>
  </si>
  <si>
    <t>Обустройство Озерного месторождения ООО «Сакмараинвестнефть»</t>
  </si>
  <si>
    <t>Система ППД</t>
  </si>
  <si>
    <t xml:space="preserve">Заказчик: </t>
  </si>
  <si>
    <t xml:space="preserve">Наименование объекта: </t>
  </si>
  <si>
    <t xml:space="preserve">СВОДКА ЗАТРАТ </t>
  </si>
  <si>
    <t>Сводка затрат</t>
  </si>
  <si>
    <t xml:space="preserve">Расчет составлен в уровне цен 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</si>
  <si>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</si>
  <si>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</si>
  <si>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</si>
  <si>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</si>
  <si>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</si>
  <si>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</si>
  <si>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</si>
  <si>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</si>
  <si>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</si>
  <si>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</si>
  <si>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</si>
  <si>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</si>
  <si>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</si>
  <si>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</si>
  <si>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Прямые затраты</t>
  </si>
  <si>
    <t>В том числе</t>
  </si>
  <si>
    <t>оборудование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</si>
  <si>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</si>
  <si>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</si>
  <si>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</si>
  <si>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</si>
  <si>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</si>
  <si>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</si>
  <si>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</si>
  <si>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перевозка</t>
  </si>
  <si>
    <t>Раздел 1. Новый Раздел</t>
  </si>
  <si>
    <t>1</t>
  </si>
  <si>
    <t>Строительно-монтажные работы. Выкидные трубопроводы от скважин.</t>
  </si>
  <si>
    <t xml:space="preserve"> </t>
  </si>
  <si>
    <t>БИМ</t>
  </si>
  <si>
    <t>2</t>
  </si>
  <si>
    <t>Строительо-монтажные работы. Обустройство площадок скважин</t>
  </si>
  <si>
    <t>4</t>
  </si>
  <si>
    <t>Строительство АГЗУ</t>
  </si>
  <si>
    <t xml:space="preserve"> 535,73</t>
  </si>
  <si>
    <t>5</t>
  </si>
  <si>
    <t>Строительство МБСНУ</t>
  </si>
  <si>
    <t>6</t>
  </si>
  <si>
    <t>7</t>
  </si>
  <si>
    <t>8</t>
  </si>
  <si>
    <t>9</t>
  </si>
  <si>
    <t>Итого по разделу 1 Новый Раздел</t>
  </si>
  <si>
    <t>Всего по сводке затрат</t>
  </si>
  <si>
    <t>Составил:</t>
  </si>
  <si>
    <t/>
  </si>
  <si>
    <t>должность</t>
  </si>
  <si>
    <t>подпись</t>
  </si>
  <si>
    <t>расшифровка подписи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</si>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</sst>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36" x14ac:knownFonts="1"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.5"/>
      <color rgb="FF333333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i/>
      <sz val="12"/>
      <name val="Arial Cyr"/>
      <charset val="204"/>
    </font>
    <font>
      <b/>
      <sz val="12"/>
      <color rgb="FF0070C0"/>
      <name val="Arial Cyr"/>
      <charset val="204"/>
    </font>
    <font>
      <b/>
      <i/>
      <sz val="10"/>
      <name val="Arial Cyr"/>
      <charset val="204"/>
    </font>
    <font>
      <b/>
      <i/>
      <sz val="12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1" applyBorder="0" applyAlignment="0">
      <alignment horizontal="center"/>
    </xf>
  </cellStyleXfs>
  <cellXfs count="205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Continuous" vertical="center" wrapText="1"/>
    </xf>
    <xf numFmtId="0" fontId="3" fillId="0" borderId="0" xfId="1" applyFont="1" applyAlignment="1">
      <alignment horizontal="centerContinuous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3" fontId="4" fillId="0" borderId="1" xfId="2" applyFont="1" applyFill="1" applyBorder="1" applyAlignment="1">
      <alignment vertical="center" wrapText="1"/>
    </xf>
    <xf numFmtId="43" fontId="4" fillId="0" borderId="1" xfId="2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6" fillId="2" borderId="1" xfId="1" applyFont="1" applyFill="1" applyBorder="1" applyAlignment="1">
      <alignment horizontal="center" vertical="center"/>
    </xf>
    <xf numFmtId="0" fontId="5" fillId="0" borderId="0" xfId="1" applyFont="1"/>
    <xf numFmtId="43" fontId="5" fillId="0" borderId="0" xfId="1" applyNumberFormat="1" applyFont="1"/>
    <xf numFmtId="4" fontId="7" fillId="0" borderId="0" xfId="0" applyNumberFormat="1" applyFont="1"/>
    <xf numFmtId="49" fontId="7" fillId="0" borderId="0" xfId="0" applyNumberFormat="1" applyFont="1"/>
    <xf numFmtId="43" fontId="5" fillId="3" borderId="0" xfId="1" applyNumberFormat="1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9" fillId="0" borderId="2" xfId="0" applyFont="1" applyBorder="1"/>
    <xf numFmtId="2" fontId="0" fillId="0" borderId="0" xfId="0" applyNumberFormat="1"/>
    <xf numFmtId="0" fontId="9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10" fillId="0" borderId="0" xfId="0" applyFont="1"/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centerContinuous" vertical="top"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Continuous"/>
    </xf>
    <xf numFmtId="0" fontId="14" fillId="0" borderId="0" xfId="0" applyFont="1" applyAlignment="1">
      <alignment horizontal="centerContinuous" vertical="top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top"/>
    </xf>
    <xf numFmtId="4" fontId="13" fillId="0" borderId="1" xfId="0" applyNumberFormat="1" applyFont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0" fontId="13" fillId="0" borderId="0" xfId="0" applyFont="1" applyAlignment="1">
      <alignment vertical="top"/>
    </xf>
    <xf numFmtId="1" fontId="13" fillId="0" borderId="1" xfId="0" applyNumberFormat="1" applyFont="1" applyBorder="1" applyAlignment="1">
      <alignment horizontal="center" vertical="top" wrapText="1"/>
    </xf>
    <xf numFmtId="43" fontId="13" fillId="0" borderId="0" xfId="0" applyNumberFormat="1" applyFont="1" applyAlignment="1">
      <alignment vertical="top"/>
    </xf>
    <xf numFmtId="2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vertical="top"/>
    </xf>
    <xf numFmtId="4" fontId="13" fillId="0" borderId="1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4" fontId="15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4" fontId="17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/>
    <xf numFmtId="4" fontId="15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top"/>
    </xf>
    <xf numFmtId="0" fontId="20" fillId="0" borderId="1" xfId="0" applyFont="1" applyBorder="1"/>
    <xf numFmtId="4" fontId="20" fillId="0" borderId="1" xfId="0" applyNumberFormat="1" applyFont="1" applyBorder="1"/>
    <xf numFmtId="4" fontId="19" fillId="0" borderId="1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1" xfId="0" applyFont="1" applyBorder="1"/>
    <xf numFmtId="4" fontId="21" fillId="0" borderId="1" xfId="0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top"/>
    </xf>
    <xf numFmtId="0" fontId="5" fillId="0" borderId="0" xfId="1" applyFont="1" applyAlignment="1">
      <alignment horizontal="centerContinuous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/>
    </xf>
    <xf numFmtId="164" fontId="4" fillId="0" borderId="1" xfId="2" applyNumberFormat="1" applyFont="1" applyBorder="1" applyAlignment="1">
      <alignment horizontal="right" vertical="top"/>
    </xf>
    <xf numFmtId="0" fontId="4" fillId="0" borderId="1" xfId="1" applyFont="1" applyBorder="1" applyAlignment="1">
      <alignment horizontal="right" vertical="top"/>
    </xf>
    <xf numFmtId="0" fontId="4" fillId="0" borderId="1" xfId="1" applyFont="1" applyBorder="1" applyAlignment="1">
      <alignment horizontal="center"/>
    </xf>
    <xf numFmtId="43" fontId="4" fillId="0" borderId="0" xfId="2" applyFont="1"/>
    <xf numFmtId="43" fontId="4" fillId="0" borderId="1" xfId="2" applyFont="1" applyBorder="1" applyAlignment="1">
      <alignment horizontal="center" vertical="center"/>
    </xf>
    <xf numFmtId="43" fontId="4" fillId="0" borderId="1" xfId="1" applyNumberFormat="1" applyFont="1" applyBorder="1" applyAlignment="1">
      <alignment horizontal="center" vertical="center"/>
    </xf>
    <xf numFmtId="43" fontId="6" fillId="0" borderId="1" xfId="1" applyNumberFormat="1" applyFont="1" applyBorder="1" applyAlignment="1">
      <alignment horizontal="center" vertical="center"/>
    </xf>
    <xf numFmtId="43" fontId="24" fillId="0" borderId="1" xfId="1" applyNumberFormat="1" applyFont="1" applyBorder="1"/>
    <xf numFmtId="43" fontId="24" fillId="0" borderId="1" xfId="1" applyNumberFormat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43" fontId="4" fillId="0" borderId="1" xfId="1" applyNumberFormat="1" applyFont="1" applyBorder="1" applyAlignment="1">
      <alignment horizontal="center" vertical="center" wrapText="1"/>
    </xf>
    <xf numFmtId="43" fontId="23" fillId="2" borderId="1" xfId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43" fontId="5" fillId="0" borderId="0" xfId="0" applyNumberFormat="1" applyFont="1"/>
    <xf numFmtId="0" fontId="4" fillId="0" borderId="0" xfId="0" applyFont="1"/>
    <xf numFmtId="0" fontId="26" fillId="0" borderId="0" xfId="0" applyFont="1" applyAlignment="1">
      <alignment vertical="top" wrapText="1"/>
    </xf>
    <xf numFmtId="0" fontId="5" fillId="0" borderId="8" xfId="0" applyFont="1" applyBorder="1"/>
    <xf numFmtId="0" fontId="5" fillId="0" borderId="0" xfId="0" applyFont="1" applyAlignment="1">
      <alignment horizontal="center" vertical="center"/>
    </xf>
    <xf numFmtId="0" fontId="5" fillId="0" borderId="9" xfId="0" applyFont="1" applyBorder="1"/>
    <xf numFmtId="0" fontId="27" fillId="0" borderId="9" xfId="0" applyFont="1" applyBorder="1" applyAlignment="1">
      <alignment horizontal="center" vertical="top"/>
    </xf>
    <xf numFmtId="0" fontId="4" fillId="0" borderId="9" xfId="0" applyFont="1" applyBorder="1"/>
    <xf numFmtId="49" fontId="3" fillId="0" borderId="0" xfId="0" applyNumberFormat="1" applyFont="1" applyAlignment="1">
      <alignment horizontal="centerContinuous" vertical="top"/>
    </xf>
    <xf numFmtId="49" fontId="3" fillId="0" borderId="0" xfId="0" applyNumberFormat="1" applyFont="1" applyAlignment="1">
      <alignment horizontal="centerContinuous"/>
    </xf>
    <xf numFmtId="0" fontId="28" fillId="0" borderId="0" xfId="0" applyFont="1"/>
    <xf numFmtId="0" fontId="28" fillId="0" borderId="0" xfId="0" applyFont="1" applyAlignment="1">
      <alignment horizontal="right" vertical="top"/>
    </xf>
    <xf numFmtId="0" fontId="6" fillId="0" borderId="0" xfId="0" applyFont="1"/>
    <xf numFmtId="0" fontId="28" fillId="0" borderId="0" xfId="0" applyFont="1" applyAlignment="1">
      <alignment horizontal="left" vertical="top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1" fillId="0" borderId="0" xfId="1" applyFont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/>
    </xf>
    <xf numFmtId="0" fontId="6" fillId="0" borderId="6" xfId="1" applyFont="1" applyBorder="1" applyAlignment="1">
      <alignment horizontal="left"/>
    </xf>
    <xf numFmtId="0" fontId="6" fillId="0" borderId="7" xfId="1" applyFont="1" applyBorder="1" applyAlignment="1">
      <alignment horizontal="left"/>
    </xf>
    <xf numFmtId="0" fontId="6" fillId="0" borderId="0" xfId="1" applyFont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left"/>
    </xf>
    <xf numFmtId="0" fontId="4" fillId="0" borderId="6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9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horizontal="left" vertical="top" wrapText="1"/>
    </xf>
    <xf numFmtId="0" fontId="30" fillId="0" borderId="0" xfId="0" applyNumberFormat="1" applyFont="1" applyFill="1" applyBorder="1" applyAlignment="1" applyProtection="1">
      <alignment wrapText="1"/>
    </xf>
    <xf numFmtId="0" fontId="29" fillId="0" borderId="0" xfId="0" applyNumberFormat="1" applyFont="1" applyFill="1" applyBorder="1" applyAlignment="1" applyProtection="1">
      <alignment horizontal="left" vertical="top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horizontal="center" vertical="top"/>
    </xf>
    <xf numFmtId="0" fontId="32" fillId="0" borderId="0" xfId="0" applyNumberFormat="1" applyFont="1" applyFill="1" applyBorder="1" applyAlignment="1" applyProtection="1">
      <alignment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30" fillId="0" borderId="8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1" fillId="0" borderId="5" xfId="0" applyNumberFormat="1" applyFont="1" applyFill="1" applyBorder="1" applyAlignment="1" applyProtection="1">
      <alignment horizontal="left" vertical="top" wrapText="1"/>
    </xf>
    <xf numFmtId="0" fontId="31" fillId="0" borderId="6" xfId="0" applyNumberFormat="1" applyFont="1" applyFill="1" applyBorder="1" applyAlignment="1" applyProtection="1">
      <alignment horizontal="left" vertical="top" wrapText="1"/>
    </xf>
    <xf numFmtId="0" fontId="31" fillId="0" borderId="7" xfId="0" applyNumberFormat="1" applyFont="1" applyFill="1" applyBorder="1" applyAlignment="1" applyProtection="1">
      <alignment horizontal="left" vertical="top" wrapText="1"/>
    </xf>
    <xf numFmtId="0" fontId="31" fillId="0" borderId="0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left" vertical="top" wrapText="1"/>
    </xf>
    <xf numFmtId="4" fontId="1" fillId="0" borderId="2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>
      <alignment horizontal="center" vertical="top"/>
    </xf>
    <xf numFmtId="2" fontId="1" fillId="0" borderId="2" xfId="0" applyNumberFormat="1" applyFont="1" applyFill="1" applyBorder="1" applyAlignment="1" applyProtection="1">
      <alignment horizontal="right" vertical="top"/>
    </xf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33" fillId="0" borderId="1" xfId="0" applyNumberFormat="1" applyFont="1" applyFill="1" applyBorder="1" applyAlignment="1" applyProtection="1">
      <alignment horizontal="left" vertical="top" wrapText="1"/>
    </xf>
    <xf numFmtId="4" fontId="33" fillId="0" borderId="1" xfId="0" applyNumberFormat="1" applyFont="1" applyFill="1" applyBorder="1" applyAlignment="1" applyProtection="1">
      <alignment horizontal="right" vertical="top"/>
    </xf>
    <xf numFmtId="2" fontId="33" fillId="0" borderId="1" xfId="0" applyNumberFormat="1" applyFont="1" applyFill="1" applyBorder="1" applyAlignment="1" applyProtection="1">
      <alignment horizontal="right" vertical="top"/>
    </xf>
    <xf numFmtId="0" fontId="33" fillId="0" borderId="1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wrapText="1"/>
    </xf>
    <xf numFmtId="0" fontId="1" fillId="0" borderId="8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wrapText="1"/>
    </xf>
    <xf numFmtId="0" fontId="34" fillId="0" borderId="0" xfId="0" applyNumberFormat="1" applyFont="1" applyFill="1" applyBorder="1" applyAlignment="1" applyProtection="1">
      <alignment horizontal="right"/>
    </xf>
    <xf numFmtId="0" fontId="35" fillId="0" borderId="10" xfId="0" applyNumberFormat="1" applyFont="1" applyFill="1" applyBorder="1" applyAlignment="1" applyProtection="1">
      <alignment horizontal="center" vertical="top"/>
    </xf>
    <xf numFmtId="0" fontId="35" fillId="0" borderId="0" xfId="0" applyNumberFormat="1" applyFont="1" applyFill="1" applyBorder="1" applyAlignment="1" applyProtection="1">
      <alignment vertical="top"/>
    </xf>
    <xf numFmtId="0" fontId="35" fillId="0" borderId="0" xfId="0" applyNumberFormat="1" applyFont="1" applyFill="1" applyBorder="1" applyAlignment="1" applyProtection="1">
      <alignment horizontal="center" vertical="top"/>
    </xf>
    <xf numFmtId="0" fontId="34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43" fontId="6" fillId="2" borderId="1" xfId="1" applyNumberFormat="1" applyFont="1" applyFill="1" applyBorder="1" applyAlignment="1">
      <alignment horizontal="center" vertical="center" wrapText="1"/>
    </xf>
    <xf numFmtId="0" fontId="6" fillId="0" borderId="0" xfId="1" applyFont="1"/>
    <xf numFmtId="43" fontId="6" fillId="2" borderId="1" xfId="2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right" vertical="center" wrapText="1"/>
    </xf>
    <xf numFmtId="0" fontId="4" fillId="0" borderId="1" xfId="1" applyFont="1" applyBorder="1" applyAlignment="1">
      <alignment horizontal="right" wrapText="1"/>
    </xf>
  </cellXfs>
  <cellStyles count="5">
    <cellStyle name="КС-3" xfId="4" xr:uid="{00000000-0005-0000-0000-000000000000}"/>
    <cellStyle name="Обычный" xfId="0" builtinId="0"/>
    <cellStyle name="Обычный 2" xfId="1" xr:uid="{00000000-0005-0000-0000-000002000000}"/>
    <cellStyle name="Титул" xfId="3" xr:uid="{00000000-0005-0000-0000-000003000000}"/>
    <cellStyle name="Финансовый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563880</xdr:colOff>
      <xdr:row>0</xdr:row>
      <xdr:rowOff>0</xdr:rowOff>
    </xdr:from>
    <xdr:to>
      <xdr:col>25</xdr:col>
      <xdr:colOff>441960</xdr:colOff>
      <xdr:row>101</xdr:row>
      <xdr:rowOff>137160</xdr:rowOff>
    </xdr:to>
    <xdr:pic>
      <xdr:nvPicPr>
        <xdr:cNvPr id="2" name="Рисунок 1" descr="1.jpg">
          <a:extLst>
            <a:ext uri="{FF2B5EF4-FFF2-40B4-BE49-F238E27FC236}">
              <a16:creationId xmlns:a16="http://schemas.microsoft.com/office/drawing/2014/main" id="{9350E1C5-CE1A-40E7-B36B-1AD3F544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02280" y="0"/>
          <a:ext cx="12679680" cy="16491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488780</xdr:colOff>
      <xdr:row>101</xdr:row>
      <xdr:rowOff>138640</xdr:rowOff>
    </xdr:to>
    <xdr:pic>
      <xdr:nvPicPr>
        <xdr:cNvPr id="2" name="Рисунок 1" descr="Безымянный.png">
          <a:extLst>
            <a:ext uri="{FF2B5EF4-FFF2-40B4-BE49-F238E27FC236}">
              <a16:creationId xmlns:a16="http://schemas.microsoft.com/office/drawing/2014/main" id="{7565ABA3-B291-4EA6-8FF5-30F9C7D7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680780" cy="16493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42"/>
  <sheetViews>
    <sheetView tabSelected="1" view="pageBreakPreview" zoomScale="73" zoomScaleNormal="100" zoomScaleSheetLayoutView="73" workbookViewId="0">
      <selection activeCell="G30" sqref="G30"/>
    </sheetView>
  </sheetViews>
  <sheetFormatPr defaultColWidth="9.140625" defaultRowHeight="15" x14ac:dyDescent="0.25"/>
  <cols>
    <col min="1" max="1" width="5.7109375" style="1" customWidth="1"/>
    <col min="2" max="2" width="12.42578125" style="1" customWidth="1"/>
    <col min="3" max="3" width="51.7109375" style="1" customWidth="1"/>
    <col min="4" max="6" width="17" style="1" customWidth="1"/>
    <col min="7" max="7" width="18" style="1" customWidth="1"/>
    <col min="8" max="8" width="18.28515625" style="1" customWidth="1"/>
    <col min="9" max="9" width="16.42578125" style="1" customWidth="1"/>
    <col min="10" max="10" width="21.5703125" style="1" customWidth="1"/>
    <col min="11" max="16384" width="9.140625" style="1"/>
  </cols>
  <sheetData>
    <row r="1" spans="1:10" customFormat="1" ht="18.75" x14ac:dyDescent="0.3">
      <c r="A1" s="27"/>
      <c r="B1" s="28"/>
      <c r="C1" s="1"/>
      <c r="D1" s="1"/>
      <c r="I1" s="118" t="s">
        <v>108</v>
      </c>
      <c r="J1" s="118"/>
    </row>
    <row r="2" spans="1:10" customFormat="1" ht="18.75" x14ac:dyDescent="0.3">
      <c r="A2" s="27"/>
      <c r="B2" s="28"/>
      <c r="C2" s="1"/>
      <c r="D2" s="1"/>
      <c r="H2" s="119" t="s">
        <v>109</v>
      </c>
      <c r="I2" s="119"/>
      <c r="J2" s="119"/>
    </row>
    <row r="3" spans="1:10" customFormat="1" ht="18.75" x14ac:dyDescent="0.3">
      <c r="A3" s="27"/>
      <c r="B3" s="28"/>
      <c r="C3" s="1"/>
      <c r="D3" s="1"/>
      <c r="I3" s="119"/>
      <c r="J3" s="119"/>
    </row>
    <row r="4" spans="1:10" customFormat="1" ht="18.75" x14ac:dyDescent="0.3">
      <c r="A4" s="27"/>
      <c r="B4" s="28"/>
      <c r="C4" s="1"/>
      <c r="D4" s="1"/>
      <c r="I4" s="119"/>
      <c r="J4" s="119"/>
    </row>
    <row r="5" spans="1:10" customFormat="1" ht="18.75" x14ac:dyDescent="0.3">
      <c r="A5" s="27"/>
      <c r="B5" s="28"/>
      <c r="C5" s="1"/>
      <c r="D5" s="1"/>
      <c r="I5" s="119"/>
      <c r="J5" s="119"/>
    </row>
    <row r="6" spans="1:10" s="29" customFormat="1" ht="38.25" customHeight="1" x14ac:dyDescent="0.3">
      <c r="A6" s="122" t="s">
        <v>35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ht="18.75" x14ac:dyDescent="0.25">
      <c r="A7" s="123" t="s">
        <v>107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10" ht="60.75" customHeight="1" x14ac:dyDescent="0.25">
      <c r="A8" s="120" t="s">
        <v>125</v>
      </c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5.75" x14ac:dyDescent="0.25">
      <c r="A9" s="3"/>
      <c r="B9" s="2"/>
      <c r="C9" s="2"/>
      <c r="D9" s="2"/>
      <c r="E9" s="2"/>
      <c r="F9" s="2"/>
      <c r="G9" s="2"/>
      <c r="H9" s="2"/>
      <c r="I9" s="2"/>
      <c r="J9" s="2"/>
    </row>
    <row r="10" spans="1:10" ht="29.25" customHeight="1" x14ac:dyDescent="0.25">
      <c r="A10" s="124" t="s">
        <v>2</v>
      </c>
      <c r="B10" s="125" t="s">
        <v>3</v>
      </c>
      <c r="C10" s="125" t="s">
        <v>4</v>
      </c>
      <c r="D10" s="125" t="s">
        <v>5</v>
      </c>
      <c r="E10" s="127" t="s">
        <v>6</v>
      </c>
      <c r="F10" s="128"/>
      <c r="G10" s="128"/>
      <c r="H10" s="128"/>
      <c r="I10" s="129"/>
      <c r="J10" s="124" t="s">
        <v>100</v>
      </c>
    </row>
    <row r="11" spans="1:10" ht="111" customHeight="1" x14ac:dyDescent="0.25">
      <c r="A11" s="124"/>
      <c r="B11" s="126"/>
      <c r="C11" s="126"/>
      <c r="D11" s="126"/>
      <c r="E11" s="98" t="s">
        <v>106</v>
      </c>
      <c r="F11" s="98" t="s">
        <v>106</v>
      </c>
      <c r="G11" s="98" t="s">
        <v>106</v>
      </c>
      <c r="H11" s="98" t="s">
        <v>106</v>
      </c>
      <c r="I11" s="98" t="s">
        <v>106</v>
      </c>
      <c r="J11" s="124"/>
    </row>
    <row r="12" spans="1:10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</row>
    <row r="13" spans="1:10" s="201" customFormat="1" ht="30" customHeight="1" x14ac:dyDescent="0.2">
      <c r="A13" s="12">
        <v>1</v>
      </c>
      <c r="B13" s="114" t="s">
        <v>126</v>
      </c>
      <c r="C13" s="115"/>
      <c r="D13" s="200">
        <f t="shared" ref="D13:J13" si="0">SUM(D14:D18)</f>
        <v>34655369.390000001</v>
      </c>
      <c r="E13" s="200">
        <f t="shared" si="0"/>
        <v>0</v>
      </c>
      <c r="F13" s="200">
        <f t="shared" si="0"/>
        <v>0</v>
      </c>
      <c r="G13" s="200">
        <f t="shared" si="0"/>
        <v>0</v>
      </c>
      <c r="H13" s="200">
        <f t="shared" si="0"/>
        <v>0</v>
      </c>
      <c r="I13" s="200">
        <f t="shared" si="0"/>
        <v>0</v>
      </c>
      <c r="J13" s="200">
        <f t="shared" si="0"/>
        <v>34655369.390000001</v>
      </c>
    </row>
    <row r="14" spans="1:10" x14ac:dyDescent="0.25">
      <c r="A14" s="5" t="s">
        <v>7</v>
      </c>
      <c r="B14" s="6" t="s">
        <v>110</v>
      </c>
      <c r="C14" s="95" t="s">
        <v>124</v>
      </c>
      <c r="D14" s="7">
        <f>'СЗ к тенд'!V14</f>
        <v>12482327</v>
      </c>
      <c r="E14" s="7"/>
      <c r="F14" s="7"/>
      <c r="G14" s="8"/>
      <c r="H14" s="8"/>
      <c r="I14" s="8"/>
      <c r="J14" s="94">
        <f>SUM(D14:I14)</f>
        <v>12482327</v>
      </c>
    </row>
    <row r="15" spans="1:10" x14ac:dyDescent="0.25">
      <c r="A15" s="5" t="s">
        <v>8</v>
      </c>
      <c r="B15" s="6" t="s">
        <v>113</v>
      </c>
      <c r="C15" s="95" t="s">
        <v>121</v>
      </c>
      <c r="D15" s="7">
        <f>'СЗ к тенд'!V15</f>
        <v>5170320.04</v>
      </c>
      <c r="E15" s="7"/>
      <c r="F15" s="7"/>
      <c r="G15" s="8"/>
      <c r="H15" s="8"/>
      <c r="I15" s="8"/>
      <c r="J15" s="94">
        <f t="shared" ref="J15:J18" si="1">SUM(D15:I15)</f>
        <v>5170320.04</v>
      </c>
    </row>
    <row r="16" spans="1:10" x14ac:dyDescent="0.25">
      <c r="A16" s="5" t="s">
        <v>105</v>
      </c>
      <c r="B16" s="6" t="s">
        <v>114</v>
      </c>
      <c r="C16" s="95" t="s">
        <v>122</v>
      </c>
      <c r="D16" s="7">
        <f>'СЗ к тенд'!V16</f>
        <v>10877524.67</v>
      </c>
      <c r="E16" s="7"/>
      <c r="F16" s="7"/>
      <c r="G16" s="8"/>
      <c r="H16" s="8"/>
      <c r="I16" s="8"/>
      <c r="J16" s="94">
        <f t="shared" si="1"/>
        <v>10877524.67</v>
      </c>
    </row>
    <row r="17" spans="1:10" x14ac:dyDescent="0.25">
      <c r="A17" s="5" t="s">
        <v>111</v>
      </c>
      <c r="B17" s="6" t="s">
        <v>115</v>
      </c>
      <c r="C17" s="95" t="s">
        <v>123</v>
      </c>
      <c r="D17" s="7">
        <f>'СЗ к тенд'!V17</f>
        <v>4056316.19</v>
      </c>
      <c r="E17" s="7"/>
      <c r="F17" s="7"/>
      <c r="G17" s="8"/>
      <c r="H17" s="8"/>
      <c r="I17" s="8"/>
      <c r="J17" s="94">
        <f t="shared" si="1"/>
        <v>4056316.19</v>
      </c>
    </row>
    <row r="18" spans="1:10" x14ac:dyDescent="0.25">
      <c r="A18" s="5" t="s">
        <v>112</v>
      </c>
      <c r="B18" s="6" t="s">
        <v>116</v>
      </c>
      <c r="C18" s="95" t="s">
        <v>104</v>
      </c>
      <c r="D18" s="7">
        <f>'СЗ к тенд'!V18</f>
        <v>2068881.49</v>
      </c>
      <c r="E18" s="7"/>
      <c r="F18" s="7"/>
      <c r="G18" s="8"/>
      <c r="H18" s="8"/>
      <c r="I18" s="8"/>
      <c r="J18" s="94">
        <f t="shared" si="1"/>
        <v>2068881.49</v>
      </c>
    </row>
    <row r="19" spans="1:10" s="201" customFormat="1" ht="30" customHeight="1" x14ac:dyDescent="0.2">
      <c r="A19" s="12">
        <v>2</v>
      </c>
      <c r="B19" s="114" t="s">
        <v>127</v>
      </c>
      <c r="C19" s="115"/>
      <c r="D19" s="200">
        <f>SUM(D20:D22)</f>
        <v>10164432.66</v>
      </c>
      <c r="E19" s="200">
        <f>SUM(E20:E22)</f>
        <v>0</v>
      </c>
      <c r="F19" s="200">
        <f>SUM(F21:F22)</f>
        <v>0</v>
      </c>
      <c r="G19" s="200">
        <f>SUM(G20:G22)</f>
        <v>0</v>
      </c>
      <c r="H19" s="200">
        <f>SUM(H20:H22)</f>
        <v>0</v>
      </c>
      <c r="I19" s="200">
        <f>SUM(I21:I22)</f>
        <v>0</v>
      </c>
      <c r="J19" s="200">
        <f>SUM(J20:J22)</f>
        <v>10164432.66</v>
      </c>
    </row>
    <row r="20" spans="1:10" x14ac:dyDescent="0.25">
      <c r="A20" s="5" t="s">
        <v>101</v>
      </c>
      <c r="B20" s="6" t="s">
        <v>117</v>
      </c>
      <c r="C20" s="95" t="s">
        <v>124</v>
      </c>
      <c r="D20" s="96">
        <f>'СЗ к тенд'!V19</f>
        <v>6706172.3799999999</v>
      </c>
      <c r="E20" s="96"/>
      <c r="F20" s="96"/>
      <c r="G20" s="96"/>
      <c r="H20" s="96"/>
      <c r="I20" s="96"/>
      <c r="J20" s="94">
        <f t="shared" ref="J20:J24" si="2">SUM(D20:I20)</f>
        <v>6706172.3799999999</v>
      </c>
    </row>
    <row r="21" spans="1:10" x14ac:dyDescent="0.25">
      <c r="A21" s="5" t="s">
        <v>102</v>
      </c>
      <c r="B21" s="6" t="s">
        <v>118</v>
      </c>
      <c r="C21" s="95" t="s">
        <v>139</v>
      </c>
      <c r="D21" s="96">
        <f>'СЗ к тенд'!V20</f>
        <v>180333</v>
      </c>
      <c r="E21" s="7"/>
      <c r="F21" s="7"/>
      <c r="G21" s="8"/>
      <c r="H21" s="8"/>
      <c r="I21" s="8"/>
      <c r="J21" s="94">
        <f t="shared" si="2"/>
        <v>180333</v>
      </c>
    </row>
    <row r="22" spans="1:10" x14ac:dyDescent="0.25">
      <c r="A22" s="5" t="s">
        <v>103</v>
      </c>
      <c r="B22" s="6" t="s">
        <v>119</v>
      </c>
      <c r="C22" s="95" t="s">
        <v>122</v>
      </c>
      <c r="D22" s="96">
        <f>'СЗ к тенд'!V21</f>
        <v>3277927.28</v>
      </c>
      <c r="E22" s="7"/>
      <c r="F22" s="7"/>
      <c r="G22" s="8"/>
      <c r="H22" s="8"/>
      <c r="I22" s="8"/>
      <c r="J22" s="94">
        <f t="shared" si="2"/>
        <v>3277927.28</v>
      </c>
    </row>
    <row r="23" spans="1:10" s="201" customFormat="1" ht="29.25" customHeight="1" x14ac:dyDescent="0.2">
      <c r="A23" s="99" t="s">
        <v>34</v>
      </c>
      <c r="B23" s="116" t="s">
        <v>138</v>
      </c>
      <c r="C23" s="117"/>
      <c r="D23" s="202">
        <f t="shared" ref="D23:J23" si="3">SUM(D24:D24)</f>
        <v>1055247.72</v>
      </c>
      <c r="E23" s="202">
        <f t="shared" si="3"/>
        <v>0</v>
      </c>
      <c r="F23" s="202">
        <f t="shared" si="3"/>
        <v>0</v>
      </c>
      <c r="G23" s="202">
        <f t="shared" si="3"/>
        <v>0</v>
      </c>
      <c r="H23" s="202">
        <f t="shared" si="3"/>
        <v>0</v>
      </c>
      <c r="I23" s="202">
        <f t="shared" si="3"/>
        <v>0</v>
      </c>
      <c r="J23" s="202">
        <f t="shared" si="3"/>
        <v>1055247.72</v>
      </c>
    </row>
    <row r="24" spans="1:10" x14ac:dyDescent="0.25">
      <c r="A24" s="5" t="s">
        <v>36</v>
      </c>
      <c r="B24" s="6" t="s">
        <v>120</v>
      </c>
      <c r="C24" s="95" t="s">
        <v>122</v>
      </c>
      <c r="D24" s="7">
        <f>'СЗ к тенд'!V22</f>
        <v>1055247.72</v>
      </c>
      <c r="E24" s="7"/>
      <c r="F24" s="7"/>
      <c r="G24" s="8"/>
      <c r="H24" s="8"/>
      <c r="I24" s="8"/>
      <c r="J24" s="94">
        <f t="shared" si="2"/>
        <v>1055247.72</v>
      </c>
    </row>
    <row r="25" spans="1:10" x14ac:dyDescent="0.25">
      <c r="A25" s="12"/>
      <c r="B25" s="9"/>
      <c r="C25" s="203" t="s">
        <v>9</v>
      </c>
      <c r="D25" s="97">
        <f t="shared" ref="D25:J25" si="4">D13+D19+D23</f>
        <v>45875049.769999996</v>
      </c>
      <c r="E25" s="97">
        <f t="shared" si="4"/>
        <v>0</v>
      </c>
      <c r="F25" s="97">
        <f t="shared" si="4"/>
        <v>0</v>
      </c>
      <c r="G25" s="97">
        <f t="shared" si="4"/>
        <v>0</v>
      </c>
      <c r="H25" s="97">
        <f t="shared" si="4"/>
        <v>0</v>
      </c>
      <c r="I25" s="97">
        <f t="shared" si="4"/>
        <v>0</v>
      </c>
      <c r="J25" s="97">
        <f>J13+J19+J23</f>
        <v>45875049.769999996</v>
      </c>
    </row>
    <row r="26" spans="1:10" x14ac:dyDescent="0.25">
      <c r="A26" s="10"/>
      <c r="B26" s="11"/>
      <c r="C26" s="204" t="s">
        <v>10</v>
      </c>
      <c r="D26" s="93">
        <f t="shared" ref="D26" si="5">D25*0.2</f>
        <v>9175009.9539999999</v>
      </c>
      <c r="E26" s="93">
        <f t="shared" ref="E26:I26" si="6">E25*0.2</f>
        <v>0</v>
      </c>
      <c r="F26" s="93">
        <f t="shared" si="6"/>
        <v>0</v>
      </c>
      <c r="G26" s="93">
        <f t="shared" si="6"/>
        <v>0</v>
      </c>
      <c r="H26" s="93">
        <f t="shared" si="6"/>
        <v>0</v>
      </c>
      <c r="I26" s="93">
        <f t="shared" si="6"/>
        <v>0</v>
      </c>
      <c r="J26" s="93">
        <f>J25*0.2</f>
        <v>9175009.9539999999</v>
      </c>
    </row>
    <row r="27" spans="1:10" x14ac:dyDescent="0.25">
      <c r="A27" s="12"/>
      <c r="B27" s="9"/>
      <c r="C27" s="203" t="s">
        <v>11</v>
      </c>
      <c r="D27" s="97">
        <f t="shared" ref="D27:I27" si="7">D26+D25</f>
        <v>55050059.723999992</v>
      </c>
      <c r="E27" s="97">
        <f t="shared" si="7"/>
        <v>0</v>
      </c>
      <c r="F27" s="97">
        <f t="shared" si="7"/>
        <v>0</v>
      </c>
      <c r="G27" s="97">
        <f t="shared" si="7"/>
        <v>0</v>
      </c>
      <c r="H27" s="97">
        <f t="shared" si="7"/>
        <v>0</v>
      </c>
      <c r="I27" s="97">
        <f t="shared" si="7"/>
        <v>0</v>
      </c>
      <c r="J27" s="97">
        <f>J26+J25</f>
        <v>55050059.723999992</v>
      </c>
    </row>
    <row r="28" spans="1:10" s="101" customFormat="1" ht="15.75" x14ac:dyDescent="0.25">
      <c r="A28" s="27"/>
      <c r="B28" s="27"/>
      <c r="C28" s="27"/>
      <c r="D28" s="100"/>
      <c r="E28" s="100"/>
      <c r="F28" s="100"/>
      <c r="G28" s="100"/>
      <c r="H28" s="100"/>
      <c r="I28" s="27"/>
      <c r="J28" s="27"/>
    </row>
    <row r="29" spans="1:10" s="101" customFormat="1" ht="15.75" x14ac:dyDescent="0.25">
      <c r="A29" s="102"/>
      <c r="B29" s="27"/>
      <c r="C29" s="102"/>
      <c r="D29" s="102"/>
      <c r="E29" s="102"/>
      <c r="F29" s="102"/>
      <c r="G29" s="102"/>
      <c r="H29" s="102"/>
      <c r="I29" s="102"/>
      <c r="J29" s="102"/>
    </row>
    <row r="30" spans="1:10" s="101" customFormat="1" ht="15.75" x14ac:dyDescent="0.25">
      <c r="A30" s="27"/>
      <c r="B30" s="102"/>
      <c r="C30" s="102" t="s">
        <v>128</v>
      </c>
      <c r="D30" s="102"/>
      <c r="E30" s="102"/>
      <c r="F30" s="102"/>
      <c r="G30" s="102"/>
      <c r="H30" s="102"/>
      <c r="I30" s="27"/>
      <c r="J30" s="27"/>
    </row>
    <row r="31" spans="1:10" s="101" customFormat="1" ht="15.75" x14ac:dyDescent="0.25">
      <c r="A31" s="27"/>
      <c r="B31" s="27"/>
      <c r="C31" s="103"/>
      <c r="D31" s="27"/>
      <c r="F31" s="27"/>
      <c r="G31" s="103"/>
      <c r="H31" s="104" t="s">
        <v>129</v>
      </c>
      <c r="J31" s="27"/>
    </row>
    <row r="32" spans="1:10" s="101" customFormat="1" ht="16.5" thickBot="1" x14ac:dyDescent="0.3">
      <c r="A32" s="105"/>
      <c r="B32" s="105"/>
      <c r="C32" s="106" t="s">
        <v>130</v>
      </c>
      <c r="D32" s="106"/>
      <c r="E32" s="107"/>
      <c r="F32" s="106"/>
      <c r="G32" s="106" t="s">
        <v>131</v>
      </c>
      <c r="H32" s="106"/>
      <c r="I32" s="105"/>
      <c r="J32" s="105"/>
    </row>
    <row r="33" spans="1:10" s="101" customFormat="1" ht="15.75" x14ac:dyDescent="0.25">
      <c r="A33" s="108" t="s">
        <v>132</v>
      </c>
      <c r="B33" s="109"/>
      <c r="C33" s="109"/>
      <c r="D33" s="108"/>
      <c r="E33" s="108"/>
      <c r="F33" s="108"/>
      <c r="G33" s="108"/>
      <c r="H33" s="108"/>
      <c r="I33" s="109"/>
      <c r="J33" s="109"/>
    </row>
    <row r="34" spans="1:10" s="101" customFormat="1" ht="15.75" x14ac:dyDescent="0.25">
      <c r="A34" s="110"/>
      <c r="B34" s="111" t="s">
        <v>133</v>
      </c>
      <c r="C34" s="113" t="s">
        <v>134</v>
      </c>
      <c r="D34" s="113"/>
      <c r="E34" s="113"/>
      <c r="F34" s="113"/>
      <c r="G34" s="113"/>
      <c r="H34" s="113"/>
      <c r="I34" s="113"/>
      <c r="J34" s="113"/>
    </row>
    <row r="35" spans="1:10" s="101" customFormat="1" ht="33" customHeight="1" x14ac:dyDescent="0.25">
      <c r="C35" s="113" t="s">
        <v>135</v>
      </c>
      <c r="D35" s="113"/>
      <c r="E35" s="113"/>
      <c r="F35" s="113"/>
      <c r="G35" s="113"/>
      <c r="H35" s="113"/>
      <c r="I35" s="113"/>
      <c r="J35" s="113"/>
    </row>
    <row r="36" spans="1:10" s="101" customFormat="1" x14ac:dyDescent="0.25"/>
    <row r="37" spans="1:10" s="101" customFormat="1" x14ac:dyDescent="0.25"/>
    <row r="38" spans="1:10" s="101" customFormat="1" x14ac:dyDescent="0.25">
      <c r="C38" s="112" t="s">
        <v>136</v>
      </c>
    </row>
    <row r="39" spans="1:10" s="101" customFormat="1" x14ac:dyDescent="0.25">
      <c r="C39" s="101" t="s">
        <v>137</v>
      </c>
    </row>
    <row r="40" spans="1:10" s="101" customFormat="1" x14ac:dyDescent="0.25"/>
    <row r="41" spans="1:10" s="101" customFormat="1" x14ac:dyDescent="0.25"/>
    <row r="42" spans="1:10" ht="15.75" x14ac:dyDescent="0.25">
      <c r="A42" s="13"/>
      <c r="B42" s="13"/>
      <c r="C42" s="13"/>
      <c r="D42" s="17"/>
      <c r="E42" s="17"/>
      <c r="F42" s="17"/>
      <c r="G42" s="14"/>
      <c r="H42" s="14"/>
      <c r="I42" s="14"/>
      <c r="J42" s="14"/>
    </row>
  </sheetData>
  <mergeCells count="19">
    <mergeCell ref="A8:J8"/>
    <mergeCell ref="A6:J6"/>
    <mergeCell ref="A7:J7"/>
    <mergeCell ref="J10:J11"/>
    <mergeCell ref="A10:A11"/>
    <mergeCell ref="B10:B11"/>
    <mergeCell ref="C10:C11"/>
    <mergeCell ref="D10:D11"/>
    <mergeCell ref="E10:I10"/>
    <mergeCell ref="I1:J1"/>
    <mergeCell ref="I4:J4"/>
    <mergeCell ref="I5:J5"/>
    <mergeCell ref="H2:J2"/>
    <mergeCell ref="I3:J3"/>
    <mergeCell ref="C34:J34"/>
    <mergeCell ref="C35:J35"/>
    <mergeCell ref="B13:C13"/>
    <mergeCell ref="B19:C19"/>
    <mergeCell ref="B23:C23"/>
  </mergeCells>
  <phoneticPr fontId="12" type="noConversion"/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120D3-FE41-48A0-990B-495FEB963DEB}">
  <sheetPr>
    <pageSetUpPr fitToPage="1"/>
  </sheetPr>
  <dimension ref="A1:AG29"/>
  <sheetViews>
    <sheetView topLeftCell="G1" zoomScale="85" zoomScaleNormal="85" workbookViewId="0">
      <selection activeCell="C36" sqref="C36"/>
    </sheetView>
  </sheetViews>
  <sheetFormatPr defaultColWidth="9.140625" defaultRowHeight="12.75" customHeight="1" outlineLevelRow="1" x14ac:dyDescent="0.2"/>
  <cols>
    <col min="1" max="1" width="5.85546875" style="199" customWidth="1"/>
    <col min="2" max="2" width="18.28515625" style="199" customWidth="1"/>
    <col min="3" max="3" width="42.42578125" style="199" customWidth="1"/>
    <col min="4" max="12" width="17.140625" style="199" customWidth="1"/>
    <col min="13" max="14" width="13.5703125" style="199" customWidth="1"/>
    <col min="15" max="17" width="14.140625" style="199" customWidth="1"/>
    <col min="18" max="18" width="18.85546875" style="199" customWidth="1"/>
    <col min="19" max="19" width="10.42578125" style="199" customWidth="1"/>
    <col min="20" max="21" width="14.140625" style="199" customWidth="1"/>
    <col min="22" max="24" width="16" style="199" customWidth="1"/>
    <col min="25" max="29" width="396" style="193" hidden="1" customWidth="1"/>
    <col min="30" max="30" width="59.5703125" style="193" hidden="1" customWidth="1"/>
    <col min="31" max="31" width="65" style="193" hidden="1" customWidth="1"/>
    <col min="32" max="32" width="59.5703125" style="193" hidden="1" customWidth="1"/>
    <col min="33" max="33" width="65" style="193" hidden="1" customWidth="1"/>
    <col min="34" max="16384" width="9.140625" style="199"/>
  </cols>
  <sheetData>
    <row r="1" spans="1:29" customFormat="1" ht="15" x14ac:dyDescent="0.2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</row>
    <row r="2" spans="1:29" customFormat="1" ht="13.5" customHeight="1" outlineLevel="1" x14ac:dyDescent="0.2">
      <c r="A2" s="153" t="s">
        <v>140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4" t="s">
        <v>140</v>
      </c>
    </row>
    <row r="3" spans="1:29" customFormat="1" ht="13.5" customHeight="1" outlineLevel="1" x14ac:dyDescent="0.2">
      <c r="A3" s="153" t="s">
        <v>141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Z3" s="154" t="s">
        <v>141</v>
      </c>
    </row>
    <row r="4" spans="1:29" customFormat="1" ht="18" customHeight="1" outlineLevel="1" x14ac:dyDescent="0.2">
      <c r="A4" s="155"/>
      <c r="B4" s="156"/>
      <c r="C4" s="156"/>
      <c r="D4" s="156"/>
      <c r="E4" s="156"/>
      <c r="F4" s="156"/>
      <c r="G4" s="156"/>
      <c r="H4" s="156"/>
      <c r="I4" s="156"/>
      <c r="J4" s="157"/>
      <c r="K4" s="157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</row>
    <row r="5" spans="1:29" customFormat="1" ht="18" customHeight="1" outlineLevel="1" x14ac:dyDescent="0.25">
      <c r="A5" s="158" t="s">
        <v>142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AA5" s="159" t="s">
        <v>142</v>
      </c>
    </row>
    <row r="6" spans="1:29" customFormat="1" ht="15" outlineLevel="1" x14ac:dyDescent="0.2">
      <c r="A6" s="160" t="s">
        <v>143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AB6" s="161" t="s">
        <v>143</v>
      </c>
    </row>
    <row r="7" spans="1:29" customFormat="1" ht="15" outlineLevel="1" x14ac:dyDescent="0.2">
      <c r="B7" s="155"/>
      <c r="C7" s="162"/>
      <c r="D7" s="162"/>
      <c r="E7" s="162"/>
      <c r="F7" s="162"/>
      <c r="G7" s="162"/>
      <c r="H7" s="162"/>
      <c r="I7" s="162"/>
      <c r="J7" s="162"/>
      <c r="K7" s="160"/>
      <c r="L7" s="160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</row>
    <row r="8" spans="1:29" customFormat="1" ht="18" customHeight="1" x14ac:dyDescent="0.2">
      <c r="A8" s="163" t="s">
        <v>144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</row>
    <row r="9" spans="1:29" customFormat="1" ht="23.25" customHeight="1" x14ac:dyDescent="0.2">
      <c r="A9" s="164" t="s">
        <v>145</v>
      </c>
      <c r="B9" s="164" t="s">
        <v>146</v>
      </c>
      <c r="C9" s="165" t="s">
        <v>147</v>
      </c>
      <c r="D9" s="166" t="s">
        <v>148</v>
      </c>
      <c r="E9" s="166"/>
      <c r="F9" s="166"/>
      <c r="G9" s="166"/>
      <c r="H9" s="166"/>
      <c r="I9" s="166"/>
      <c r="J9" s="166"/>
      <c r="K9" s="166"/>
      <c r="L9" s="166"/>
      <c r="M9" s="166" t="s">
        <v>149</v>
      </c>
      <c r="N9" s="166"/>
      <c r="O9" s="164" t="s">
        <v>150</v>
      </c>
      <c r="P9" s="164" t="s">
        <v>151</v>
      </c>
      <c r="Q9" s="164" t="s">
        <v>152</v>
      </c>
      <c r="R9" s="164" t="s">
        <v>153</v>
      </c>
      <c r="S9" s="164" t="s">
        <v>154</v>
      </c>
      <c r="T9" s="164" t="s">
        <v>155</v>
      </c>
      <c r="U9" s="164" t="s">
        <v>156</v>
      </c>
      <c r="V9" s="164" t="s">
        <v>157</v>
      </c>
      <c r="W9" s="164" t="s">
        <v>158</v>
      </c>
      <c r="X9" s="164" t="s">
        <v>0</v>
      </c>
    </row>
    <row r="10" spans="1:29" customFormat="1" ht="25.5" customHeight="1" x14ac:dyDescent="0.2">
      <c r="A10" s="164"/>
      <c r="B10" s="164"/>
      <c r="C10" s="167"/>
      <c r="D10" s="164" t="s">
        <v>159</v>
      </c>
      <c r="E10" s="168" t="s">
        <v>160</v>
      </c>
      <c r="F10" s="169"/>
      <c r="G10" s="169"/>
      <c r="H10" s="169"/>
      <c r="I10" s="170"/>
      <c r="J10" s="165" t="s">
        <v>161</v>
      </c>
      <c r="K10" s="164" t="s">
        <v>162</v>
      </c>
      <c r="L10" s="164"/>
      <c r="M10" s="164" t="s">
        <v>163</v>
      </c>
      <c r="N10" s="164" t="s">
        <v>164</v>
      </c>
      <c r="O10" s="164"/>
      <c r="P10" s="164"/>
      <c r="Q10" s="164"/>
      <c r="R10" s="164"/>
      <c r="S10" s="164"/>
      <c r="T10" s="164"/>
      <c r="U10" s="164"/>
      <c r="V10" s="164"/>
      <c r="W10" s="164"/>
      <c r="X10" s="164"/>
    </row>
    <row r="11" spans="1:29" customFormat="1" ht="19.5" customHeight="1" x14ac:dyDescent="0.2">
      <c r="A11" s="164"/>
      <c r="B11" s="164"/>
      <c r="C11" s="171"/>
      <c r="D11" s="164"/>
      <c r="E11" s="172" t="s">
        <v>165</v>
      </c>
      <c r="F11" s="172" t="s">
        <v>166</v>
      </c>
      <c r="G11" s="172" t="s">
        <v>167</v>
      </c>
      <c r="H11" s="172" t="s">
        <v>168</v>
      </c>
      <c r="I11" s="172" t="s">
        <v>169</v>
      </c>
      <c r="J11" s="171"/>
      <c r="K11" s="172" t="s">
        <v>168</v>
      </c>
      <c r="L11" s="172" t="s">
        <v>161</v>
      </c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</row>
    <row r="12" spans="1:29" customFormat="1" ht="18" customHeight="1" x14ac:dyDescent="0.2">
      <c r="A12" s="172">
        <v>1</v>
      </c>
      <c r="B12" s="172">
        <v>2</v>
      </c>
      <c r="C12" s="172">
        <v>3</v>
      </c>
      <c r="D12" s="172">
        <v>4</v>
      </c>
      <c r="E12" s="172">
        <v>5</v>
      </c>
      <c r="F12" s="172">
        <v>6</v>
      </c>
      <c r="G12" s="172">
        <v>7</v>
      </c>
      <c r="H12" s="172">
        <v>8</v>
      </c>
      <c r="I12" s="172">
        <v>9</v>
      </c>
      <c r="J12" s="172">
        <v>10</v>
      </c>
      <c r="K12" s="172">
        <v>11</v>
      </c>
      <c r="L12" s="172">
        <v>12</v>
      </c>
      <c r="M12" s="172">
        <v>13</v>
      </c>
      <c r="N12" s="172">
        <v>14</v>
      </c>
      <c r="O12" s="172">
        <v>15</v>
      </c>
      <c r="P12" s="172">
        <v>16</v>
      </c>
      <c r="Q12" s="172">
        <v>17</v>
      </c>
      <c r="R12" s="172">
        <v>18</v>
      </c>
      <c r="S12" s="172">
        <v>19</v>
      </c>
      <c r="T12" s="172">
        <v>20</v>
      </c>
      <c r="U12" s="172">
        <v>21</v>
      </c>
      <c r="V12" s="172">
        <v>22</v>
      </c>
      <c r="W12" s="172">
        <v>23</v>
      </c>
      <c r="X12" s="172">
        <v>24</v>
      </c>
    </row>
    <row r="13" spans="1:29" customFormat="1" ht="15.75" x14ac:dyDescent="0.25">
      <c r="A13" s="173" t="s">
        <v>170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5"/>
      <c r="AC13" s="176" t="s">
        <v>170</v>
      </c>
    </row>
    <row r="14" spans="1:29" customFormat="1" ht="25.5" x14ac:dyDescent="0.25">
      <c r="A14" s="177" t="s">
        <v>171</v>
      </c>
      <c r="B14" s="178" t="s">
        <v>110</v>
      </c>
      <c r="C14" s="178" t="s">
        <v>172</v>
      </c>
      <c r="D14" s="179">
        <v>8155764.1399999997</v>
      </c>
      <c r="E14" s="179">
        <v>1492283.08</v>
      </c>
      <c r="F14" s="179">
        <v>5880500.2300000004</v>
      </c>
      <c r="G14" s="179">
        <v>1113213.8400000001</v>
      </c>
      <c r="H14" s="179">
        <v>782980.83</v>
      </c>
      <c r="I14" s="180" t="s">
        <v>173</v>
      </c>
      <c r="J14" s="179">
        <v>25689.71</v>
      </c>
      <c r="K14" s="180"/>
      <c r="L14" s="180"/>
      <c r="M14" s="179">
        <v>4511.42</v>
      </c>
      <c r="N14" s="179">
        <v>2627.29</v>
      </c>
      <c r="O14" s="179">
        <v>2605496.92</v>
      </c>
      <c r="P14" s="179">
        <v>2792854.68</v>
      </c>
      <c r="Q14" s="179">
        <v>1508018.47</v>
      </c>
      <c r="R14" s="179">
        <v>12482327</v>
      </c>
      <c r="S14" s="181" t="s">
        <v>174</v>
      </c>
      <c r="T14" s="180"/>
      <c r="U14" s="180"/>
      <c r="V14" s="179">
        <v>12482327</v>
      </c>
      <c r="W14" s="180"/>
      <c r="X14" s="179">
        <v>12482327</v>
      </c>
      <c r="AC14" s="176"/>
    </row>
    <row r="15" spans="1:29" customFormat="1" ht="15.75" x14ac:dyDescent="0.25">
      <c r="A15" s="177" t="s">
        <v>175</v>
      </c>
      <c r="B15" s="178" t="s">
        <v>113</v>
      </c>
      <c r="C15" s="178" t="s">
        <v>139</v>
      </c>
      <c r="D15" s="179">
        <v>3090985.33</v>
      </c>
      <c r="E15" s="179">
        <v>881709.38</v>
      </c>
      <c r="F15" s="179">
        <v>1753276.87</v>
      </c>
      <c r="G15" s="179">
        <v>472901.39</v>
      </c>
      <c r="H15" s="179">
        <v>455999.08</v>
      </c>
      <c r="I15" s="180" t="s">
        <v>173</v>
      </c>
      <c r="J15" s="179">
        <v>19267.28</v>
      </c>
      <c r="K15" s="180"/>
      <c r="L15" s="180"/>
      <c r="M15" s="179">
        <v>2395.38</v>
      </c>
      <c r="N15" s="179">
        <v>1025.33</v>
      </c>
      <c r="O15" s="179">
        <v>1354610.77</v>
      </c>
      <c r="P15" s="179">
        <v>1334326.54</v>
      </c>
      <c r="Q15" s="179">
        <v>725740.89</v>
      </c>
      <c r="R15" s="179">
        <v>5170320.04</v>
      </c>
      <c r="S15" s="181" t="s">
        <v>174</v>
      </c>
      <c r="T15" s="180"/>
      <c r="U15" s="180"/>
      <c r="V15" s="179">
        <v>5170320.04</v>
      </c>
      <c r="W15" s="180"/>
      <c r="X15" s="179">
        <v>5170320.04</v>
      </c>
      <c r="AC15" s="176"/>
    </row>
    <row r="16" spans="1:29" customFormat="1" ht="25.5" x14ac:dyDescent="0.25">
      <c r="A16" s="177" t="s">
        <v>34</v>
      </c>
      <c r="B16" s="178" t="s">
        <v>114</v>
      </c>
      <c r="C16" s="178" t="s">
        <v>176</v>
      </c>
      <c r="D16" s="179">
        <v>7177297.1699999999</v>
      </c>
      <c r="E16" s="179">
        <v>2006291</v>
      </c>
      <c r="F16" s="179">
        <v>1884611.14</v>
      </c>
      <c r="G16" s="179">
        <v>367716.69</v>
      </c>
      <c r="H16" s="179">
        <v>3286395.03</v>
      </c>
      <c r="I16" s="180" t="s">
        <v>173</v>
      </c>
      <c r="J16" s="179">
        <v>58720.66</v>
      </c>
      <c r="K16" s="180"/>
      <c r="L16" s="180"/>
      <c r="M16" s="179">
        <v>6250.53</v>
      </c>
      <c r="N16" s="182">
        <v>821.17</v>
      </c>
      <c r="O16" s="179">
        <v>2374007.69</v>
      </c>
      <c r="P16" s="179">
        <v>2301083.37</v>
      </c>
      <c r="Q16" s="179">
        <v>1340423.47</v>
      </c>
      <c r="R16" s="179">
        <v>10877524.67</v>
      </c>
      <c r="S16" s="181" t="s">
        <v>174</v>
      </c>
      <c r="T16" s="180"/>
      <c r="U16" s="180"/>
      <c r="V16" s="179">
        <v>10877524.67</v>
      </c>
      <c r="W16" s="180"/>
      <c r="X16" s="179">
        <v>10877524.67</v>
      </c>
      <c r="AC16" s="176"/>
    </row>
    <row r="17" spans="1:33" customFormat="1" ht="15.75" x14ac:dyDescent="0.25">
      <c r="A17" s="177" t="s">
        <v>177</v>
      </c>
      <c r="B17" s="178" t="s">
        <v>115</v>
      </c>
      <c r="C17" s="178" t="s">
        <v>178</v>
      </c>
      <c r="D17" s="179">
        <v>2444105.1</v>
      </c>
      <c r="E17" s="179">
        <v>849087.45</v>
      </c>
      <c r="F17" s="179">
        <v>793092.96</v>
      </c>
      <c r="G17" s="179">
        <v>169804.05</v>
      </c>
      <c r="H17" s="179">
        <v>801388.96</v>
      </c>
      <c r="I17" s="180" t="s">
        <v>179</v>
      </c>
      <c r="J17" s="179">
        <v>42816.18</v>
      </c>
      <c r="K17" s="180"/>
      <c r="L17" s="180"/>
      <c r="M17" s="179">
        <v>2597.38</v>
      </c>
      <c r="N17" s="182">
        <v>371.42</v>
      </c>
      <c r="O17" s="179">
        <v>1018891.5</v>
      </c>
      <c r="P17" s="179">
        <v>995086.09</v>
      </c>
      <c r="Q17" s="179">
        <v>574308.81999999995</v>
      </c>
      <c r="R17" s="179">
        <v>4055780.46</v>
      </c>
      <c r="S17" s="181" t="s">
        <v>174</v>
      </c>
      <c r="T17" s="180"/>
      <c r="U17" s="180"/>
      <c r="V17" s="179">
        <v>4056316.19</v>
      </c>
      <c r="W17" s="180"/>
      <c r="X17" s="179">
        <v>4056316.19</v>
      </c>
      <c r="AC17" s="176"/>
    </row>
    <row r="18" spans="1:33" customFormat="1" ht="15.75" x14ac:dyDescent="0.25">
      <c r="A18" s="177" t="s">
        <v>180</v>
      </c>
      <c r="B18" s="178" t="s">
        <v>116</v>
      </c>
      <c r="C18" s="178" t="s">
        <v>181</v>
      </c>
      <c r="D18" s="179">
        <v>1113329.8500000001</v>
      </c>
      <c r="E18" s="179">
        <v>303124.05</v>
      </c>
      <c r="F18" s="179">
        <v>524138.48</v>
      </c>
      <c r="G18" s="179">
        <v>114314.26</v>
      </c>
      <c r="H18" s="179">
        <v>286067.32</v>
      </c>
      <c r="I18" s="180" t="s">
        <v>173</v>
      </c>
      <c r="J18" s="180"/>
      <c r="K18" s="180"/>
      <c r="L18" s="180"/>
      <c r="M18" s="182">
        <v>944.76</v>
      </c>
      <c r="N18" s="182">
        <v>264.52999999999997</v>
      </c>
      <c r="O18" s="179">
        <v>417438.31</v>
      </c>
      <c r="P18" s="179">
        <v>529412.82999999996</v>
      </c>
      <c r="Q18" s="179">
        <v>426138.81</v>
      </c>
      <c r="R18" s="179">
        <v>2068881.49</v>
      </c>
      <c r="S18" s="181" t="s">
        <v>174</v>
      </c>
      <c r="T18" s="180"/>
      <c r="U18" s="180"/>
      <c r="V18" s="179">
        <v>2068881.49</v>
      </c>
      <c r="W18" s="180"/>
      <c r="X18" s="179">
        <v>2068881.49</v>
      </c>
      <c r="AC18" s="176"/>
    </row>
    <row r="19" spans="1:33" customFormat="1" ht="25.5" x14ac:dyDescent="0.25">
      <c r="A19" s="177" t="s">
        <v>182</v>
      </c>
      <c r="B19" s="178" t="s">
        <v>117</v>
      </c>
      <c r="C19" s="178" t="s">
        <v>172</v>
      </c>
      <c r="D19" s="179">
        <v>4324155.91</v>
      </c>
      <c r="E19" s="179">
        <v>823472.73</v>
      </c>
      <c r="F19" s="179">
        <v>3130095.56</v>
      </c>
      <c r="G19" s="179">
        <v>613674.61</v>
      </c>
      <c r="H19" s="179">
        <v>370587.62</v>
      </c>
      <c r="I19" s="180" t="s">
        <v>173</v>
      </c>
      <c r="J19" s="179">
        <v>4281.62</v>
      </c>
      <c r="K19" s="180"/>
      <c r="L19" s="180"/>
      <c r="M19" s="179">
        <v>2479.14</v>
      </c>
      <c r="N19" s="179">
        <v>1460.32</v>
      </c>
      <c r="O19" s="179">
        <v>1437147.34</v>
      </c>
      <c r="P19" s="179">
        <v>1541797.24</v>
      </c>
      <c r="Q19" s="179">
        <v>835937.61</v>
      </c>
      <c r="R19" s="179">
        <v>6706172.3799999999</v>
      </c>
      <c r="S19" s="181" t="s">
        <v>174</v>
      </c>
      <c r="T19" s="180"/>
      <c r="U19" s="180"/>
      <c r="V19" s="179">
        <v>6706172.3799999999</v>
      </c>
      <c r="W19" s="180"/>
      <c r="X19" s="179">
        <v>6706172.3799999999</v>
      </c>
      <c r="AC19" s="176"/>
    </row>
    <row r="20" spans="1:33" customFormat="1" ht="15.75" x14ac:dyDescent="0.25">
      <c r="A20" s="177" t="s">
        <v>183</v>
      </c>
      <c r="B20" s="178" t="s">
        <v>118</v>
      </c>
      <c r="C20" s="178" t="s">
        <v>139</v>
      </c>
      <c r="D20" s="179">
        <v>94759.84</v>
      </c>
      <c r="E20" s="179">
        <v>52758.43</v>
      </c>
      <c r="F20" s="179">
        <v>29401.03</v>
      </c>
      <c r="G20" s="179">
        <v>7025.53</v>
      </c>
      <c r="H20" s="179">
        <v>12600.38</v>
      </c>
      <c r="I20" s="180" t="s">
        <v>173</v>
      </c>
      <c r="J20" s="179">
        <v>4281.62</v>
      </c>
      <c r="K20" s="180"/>
      <c r="L20" s="180"/>
      <c r="M20" s="182">
        <v>145.34</v>
      </c>
      <c r="N20" s="182">
        <v>16.100000000000001</v>
      </c>
      <c r="O20" s="179">
        <v>59783.96</v>
      </c>
      <c r="P20" s="179">
        <v>53796.85</v>
      </c>
      <c r="Q20" s="179">
        <v>27494.69</v>
      </c>
      <c r="R20" s="179">
        <v>180333</v>
      </c>
      <c r="S20" s="181" t="s">
        <v>174</v>
      </c>
      <c r="T20" s="180"/>
      <c r="U20" s="180"/>
      <c r="V20" s="179">
        <v>180333</v>
      </c>
      <c r="W20" s="180"/>
      <c r="X20" s="179">
        <v>180333</v>
      </c>
      <c r="AC20" s="176"/>
    </row>
    <row r="21" spans="1:33" customFormat="1" ht="25.5" x14ac:dyDescent="0.25">
      <c r="A21" s="177" t="s">
        <v>184</v>
      </c>
      <c r="B21" s="178" t="s">
        <v>119</v>
      </c>
      <c r="C21" s="178" t="s">
        <v>176</v>
      </c>
      <c r="D21" s="179">
        <v>2152223.4700000002</v>
      </c>
      <c r="E21" s="179">
        <v>616680.65</v>
      </c>
      <c r="F21" s="179">
        <v>555440.84</v>
      </c>
      <c r="G21" s="179">
        <v>108184.82</v>
      </c>
      <c r="H21" s="179">
        <v>980101.98</v>
      </c>
      <c r="I21" s="180" t="s">
        <v>173</v>
      </c>
      <c r="J21" s="179">
        <v>18155.54</v>
      </c>
      <c r="K21" s="180"/>
      <c r="L21" s="180"/>
      <c r="M21" s="179">
        <v>1920.74</v>
      </c>
      <c r="N21" s="182">
        <v>241.69</v>
      </c>
      <c r="O21" s="179">
        <v>724865.47</v>
      </c>
      <c r="P21" s="179">
        <v>701331.18</v>
      </c>
      <c r="Q21" s="179">
        <v>406217.09</v>
      </c>
      <c r="R21" s="179">
        <v>3277927.28</v>
      </c>
      <c r="S21" s="181" t="s">
        <v>174</v>
      </c>
      <c r="T21" s="180"/>
      <c r="U21" s="180"/>
      <c r="V21" s="179">
        <v>3277927.28</v>
      </c>
      <c r="W21" s="180"/>
      <c r="X21" s="179">
        <v>3277927.28</v>
      </c>
      <c r="AC21" s="176"/>
    </row>
    <row r="22" spans="1:33" customFormat="1" ht="25.5" x14ac:dyDescent="0.25">
      <c r="A22" s="177" t="s">
        <v>185</v>
      </c>
      <c r="B22" s="178" t="s">
        <v>120</v>
      </c>
      <c r="C22" s="178" t="s">
        <v>176</v>
      </c>
      <c r="D22" s="179">
        <v>695032.99</v>
      </c>
      <c r="E22" s="179">
        <v>174278.14</v>
      </c>
      <c r="F22" s="179">
        <v>199018.81</v>
      </c>
      <c r="G22" s="179">
        <v>43371.1</v>
      </c>
      <c r="H22" s="179">
        <v>321736.03999999998</v>
      </c>
      <c r="I22" s="180" t="s">
        <v>173</v>
      </c>
      <c r="J22" s="179">
        <v>10676.49</v>
      </c>
      <c r="K22" s="180"/>
      <c r="L22" s="180"/>
      <c r="M22" s="182">
        <v>541.87</v>
      </c>
      <c r="N22" s="182">
        <v>96.81</v>
      </c>
      <c r="O22" s="179">
        <v>217649.24</v>
      </c>
      <c r="P22" s="179">
        <v>217715.19</v>
      </c>
      <c r="Q22" s="179">
        <v>131823.04999999999</v>
      </c>
      <c r="R22" s="179">
        <v>1055247.72</v>
      </c>
      <c r="S22" s="181" t="s">
        <v>174</v>
      </c>
      <c r="T22" s="180"/>
      <c r="U22" s="180"/>
      <c r="V22" s="179">
        <v>1055247.72</v>
      </c>
      <c r="W22" s="180"/>
      <c r="X22" s="179">
        <v>1055247.72</v>
      </c>
      <c r="AC22" s="176"/>
    </row>
    <row r="23" spans="1:33" customFormat="1" ht="15.75" x14ac:dyDescent="0.25">
      <c r="A23" s="183"/>
      <c r="B23" s="184"/>
      <c r="C23" s="185" t="s">
        <v>186</v>
      </c>
      <c r="D23" s="186">
        <v>29247653.800000001</v>
      </c>
      <c r="E23" s="186">
        <v>7199684.9100000001</v>
      </c>
      <c r="F23" s="186">
        <v>14749575.92</v>
      </c>
      <c r="G23" s="186">
        <v>3010206.29</v>
      </c>
      <c r="H23" s="186">
        <v>7297857.2400000002</v>
      </c>
      <c r="I23" s="187">
        <v>535.73</v>
      </c>
      <c r="J23" s="186">
        <v>183889.1</v>
      </c>
      <c r="K23" s="188"/>
      <c r="L23" s="188"/>
      <c r="M23" s="186">
        <v>21786.55</v>
      </c>
      <c r="N23" s="186">
        <v>6924.68</v>
      </c>
      <c r="O23" s="186">
        <v>10209891.199999999</v>
      </c>
      <c r="P23" s="186">
        <v>10467403.970000001</v>
      </c>
      <c r="Q23" s="186">
        <v>5976102.9000000004</v>
      </c>
      <c r="R23" s="186">
        <v>45874514.039999999</v>
      </c>
      <c r="S23" s="188"/>
      <c r="T23" s="188"/>
      <c r="U23" s="188"/>
      <c r="V23" s="186">
        <v>45875049.770000003</v>
      </c>
      <c r="W23" s="188"/>
      <c r="X23" s="186">
        <v>45875049.770000003</v>
      </c>
      <c r="AC23" s="176"/>
    </row>
    <row r="24" spans="1:33" customFormat="1" x14ac:dyDescent="0.2">
      <c r="A24" s="183"/>
      <c r="B24" s="184"/>
      <c r="C24" s="185" t="s">
        <v>187</v>
      </c>
      <c r="D24" s="186">
        <v>29247653.800000001</v>
      </c>
      <c r="E24" s="186">
        <v>7199684.9100000001</v>
      </c>
      <c r="F24" s="186">
        <v>14749575.92</v>
      </c>
      <c r="G24" s="186">
        <v>3010206.29</v>
      </c>
      <c r="H24" s="186">
        <v>7297857.2400000002</v>
      </c>
      <c r="I24" s="187">
        <v>535.73</v>
      </c>
      <c r="J24" s="186">
        <v>183889.1</v>
      </c>
      <c r="K24" s="188"/>
      <c r="L24" s="188"/>
      <c r="M24" s="186">
        <v>21786.55</v>
      </c>
      <c r="N24" s="186">
        <v>6924.68</v>
      </c>
      <c r="O24" s="186">
        <v>10209891.199999999</v>
      </c>
      <c r="P24" s="186">
        <v>10467403.970000001</v>
      </c>
      <c r="Q24" s="186">
        <v>5976102.9000000004</v>
      </c>
      <c r="R24" s="186">
        <v>45874514.039999999</v>
      </c>
      <c r="S24" s="188"/>
      <c r="T24" s="188"/>
      <c r="U24" s="188"/>
      <c r="V24" s="186">
        <v>45875049.770000003</v>
      </c>
      <c r="W24" s="188"/>
      <c r="X24" s="186">
        <v>45875049.770000003</v>
      </c>
    </row>
    <row r="26" spans="1:33" customFormat="1" x14ac:dyDescent="0.2">
      <c r="B26" s="189" t="s">
        <v>188</v>
      </c>
      <c r="C26" s="190"/>
      <c r="D26" s="190"/>
      <c r="F26" s="191"/>
      <c r="G26" s="191"/>
      <c r="J26" s="192"/>
      <c r="K26" s="192"/>
      <c r="L26" s="192"/>
      <c r="M26" s="192"/>
      <c r="AD26" s="193" t="s">
        <v>189</v>
      </c>
      <c r="AE26" s="193" t="s">
        <v>189</v>
      </c>
    </row>
    <row r="27" spans="1:33" customFormat="1" ht="21.75" customHeight="1" x14ac:dyDescent="0.2">
      <c r="B27" s="194"/>
      <c r="C27" s="195" t="s">
        <v>190</v>
      </c>
      <c r="D27" s="195"/>
      <c r="E27" s="196"/>
      <c r="F27" s="195" t="s">
        <v>191</v>
      </c>
      <c r="G27" s="195"/>
      <c r="H27" s="197"/>
      <c r="I27" s="196"/>
      <c r="J27" s="195" t="s">
        <v>192</v>
      </c>
      <c r="K27" s="195"/>
      <c r="L27" s="195"/>
      <c r="M27" s="195"/>
    </row>
    <row r="28" spans="1:33" customFormat="1" x14ac:dyDescent="0.2">
      <c r="B28" s="189" t="s">
        <v>193</v>
      </c>
      <c r="C28" s="190"/>
      <c r="D28" s="190"/>
      <c r="F28" s="191"/>
      <c r="G28" s="191"/>
      <c r="J28" s="192"/>
      <c r="K28" s="192"/>
      <c r="L28" s="192"/>
      <c r="M28" s="192"/>
      <c r="AF28" s="193" t="s">
        <v>189</v>
      </c>
      <c r="AG28" s="193" t="s">
        <v>189</v>
      </c>
    </row>
    <row r="29" spans="1:33" customFormat="1" ht="17.25" customHeight="1" x14ac:dyDescent="0.2">
      <c r="B29" s="198"/>
      <c r="C29" s="195" t="s">
        <v>190</v>
      </c>
      <c r="D29" s="195"/>
      <c r="E29" s="196"/>
      <c r="F29" s="195" t="s">
        <v>191</v>
      </c>
      <c r="G29" s="195"/>
      <c r="H29" s="197"/>
      <c r="I29" s="196"/>
      <c r="J29" s="195" t="s">
        <v>192</v>
      </c>
      <c r="K29" s="195"/>
      <c r="L29" s="195"/>
      <c r="M29" s="195"/>
    </row>
  </sheetData>
  <mergeCells count="38">
    <mergeCell ref="C28:D28"/>
    <mergeCell ref="J28:M28"/>
    <mergeCell ref="C29:D29"/>
    <mergeCell ref="F29:G29"/>
    <mergeCell ref="J29:M29"/>
    <mergeCell ref="A13:X13"/>
    <mergeCell ref="C26:D26"/>
    <mergeCell ref="J26:M26"/>
    <mergeCell ref="C27:D27"/>
    <mergeCell ref="F27:G27"/>
    <mergeCell ref="J27:M27"/>
    <mergeCell ref="V9:V11"/>
    <mergeCell ref="W9:W11"/>
    <mergeCell ref="X9:X11"/>
    <mergeCell ref="D10:D11"/>
    <mergeCell ref="E10:I10"/>
    <mergeCell ref="J10:J11"/>
    <mergeCell ref="K10:L10"/>
    <mergeCell ref="M10:M11"/>
    <mergeCell ref="N10:N11"/>
    <mergeCell ref="P9:P11"/>
    <mergeCell ref="Q9:Q11"/>
    <mergeCell ref="R9:R11"/>
    <mergeCell ref="S9:S11"/>
    <mergeCell ref="T9:T11"/>
    <mergeCell ref="U9:U11"/>
    <mergeCell ref="A9:A11"/>
    <mergeCell ref="B9:B11"/>
    <mergeCell ref="C9:C11"/>
    <mergeCell ref="D9:L9"/>
    <mergeCell ref="M9:N9"/>
    <mergeCell ref="O9:O11"/>
    <mergeCell ref="A2:X2"/>
    <mergeCell ref="A3:X3"/>
    <mergeCell ref="A5:X5"/>
    <mergeCell ref="A6:X6"/>
    <mergeCell ref="K7:L7"/>
    <mergeCell ref="A8:X8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710D-C693-4836-9E0D-EA693CCD7928}">
  <sheetPr>
    <tabColor rgb="FF92D050"/>
    <pageSetUpPr fitToPage="1"/>
  </sheetPr>
  <dimension ref="A1:I23"/>
  <sheetViews>
    <sheetView showZeros="0" view="pageBreakPreview" zoomScaleNormal="100" zoomScaleSheetLayoutView="100" workbookViewId="0">
      <selection activeCell="C17" sqref="C17"/>
    </sheetView>
  </sheetViews>
  <sheetFormatPr defaultRowHeight="12.75" x14ac:dyDescent="0.2"/>
  <cols>
    <col min="1" max="1" width="5.85546875" customWidth="1"/>
    <col min="2" max="2" width="58.5703125" customWidth="1"/>
    <col min="3" max="3" width="19.85546875" bestFit="1" customWidth="1"/>
    <col min="4" max="4" width="29.7109375" customWidth="1"/>
    <col min="5" max="5" width="21.42578125" customWidth="1"/>
  </cols>
  <sheetData>
    <row r="1" spans="1:9" s="31" customFormat="1" ht="15" x14ac:dyDescent="0.2">
      <c r="A1" s="30" t="s">
        <v>37</v>
      </c>
      <c r="B1" s="30"/>
      <c r="C1" s="30"/>
      <c r="D1" s="30"/>
    </row>
    <row r="2" spans="1:9" s="31" customFormat="1" ht="15" customHeight="1" x14ac:dyDescent="0.2">
      <c r="A2" s="32" t="s">
        <v>38</v>
      </c>
      <c r="B2" s="32"/>
      <c r="C2" s="32"/>
      <c r="D2" s="32"/>
      <c r="E2" s="33"/>
      <c r="F2" s="33"/>
      <c r="G2" s="33"/>
      <c r="H2" s="33"/>
      <c r="I2" s="33"/>
    </row>
    <row r="3" spans="1:9" s="31" customFormat="1" ht="15" customHeight="1" x14ac:dyDescent="0.2">
      <c r="A3" s="32" t="s">
        <v>16</v>
      </c>
      <c r="B3" s="32"/>
      <c r="C3" s="32"/>
      <c r="D3" s="32"/>
      <c r="E3" s="33"/>
      <c r="F3" s="33"/>
      <c r="G3" s="33"/>
      <c r="H3" s="33"/>
      <c r="I3" s="33"/>
    </row>
    <row r="4" spans="1:9" s="31" customFormat="1" ht="15" customHeight="1" x14ac:dyDescent="0.2">
      <c r="A4" s="32" t="e">
        <f>#REF!</f>
        <v>#REF!</v>
      </c>
      <c r="B4" s="32"/>
      <c r="C4" s="32"/>
      <c r="D4" s="32"/>
      <c r="E4" s="33"/>
      <c r="F4" s="33"/>
      <c r="G4" s="33"/>
      <c r="H4" s="33"/>
      <c r="I4" s="33"/>
    </row>
    <row r="5" spans="1:9" x14ac:dyDescent="0.2">
      <c r="A5" s="34"/>
      <c r="B5" s="35" t="s">
        <v>39</v>
      </c>
      <c r="C5" s="34"/>
      <c r="D5" s="34"/>
      <c r="E5" s="36"/>
      <c r="F5" s="36"/>
      <c r="G5" s="36"/>
      <c r="H5" s="36"/>
      <c r="I5" s="36"/>
    </row>
    <row r="6" spans="1:9" x14ac:dyDescent="0.2">
      <c r="A6" s="34"/>
      <c r="B6" s="35"/>
      <c r="C6" s="34"/>
      <c r="D6" s="34"/>
      <c r="E6" s="36"/>
      <c r="F6" s="36"/>
      <c r="G6" s="36"/>
      <c r="H6" s="36"/>
      <c r="I6" s="36"/>
    </row>
    <row r="7" spans="1:9" s="38" customFormat="1" ht="47.25" x14ac:dyDescent="0.2">
      <c r="A7" s="37" t="s">
        <v>40</v>
      </c>
      <c r="B7" s="37" t="s">
        <v>15</v>
      </c>
      <c r="C7" s="37" t="s">
        <v>41</v>
      </c>
      <c r="D7" s="37" t="s">
        <v>42</v>
      </c>
      <c r="E7" s="37" t="s">
        <v>43</v>
      </c>
    </row>
    <row r="8" spans="1:9" s="43" customFormat="1" ht="15.75" x14ac:dyDescent="0.2">
      <c r="A8" s="39">
        <v>1</v>
      </c>
      <c r="B8" s="40" t="s">
        <v>44</v>
      </c>
      <c r="C8" s="41" t="e">
        <f>(#REF!+#REF!)*1.2</f>
        <v>#REF!</v>
      </c>
      <c r="D8" s="42"/>
      <c r="E8" s="41">
        <v>30702343.789999999</v>
      </c>
    </row>
    <row r="9" spans="1:9" s="43" customFormat="1" ht="15.75" x14ac:dyDescent="0.2">
      <c r="A9" s="44"/>
      <c r="B9" s="45" t="s">
        <v>45</v>
      </c>
      <c r="C9" s="46" t="e">
        <f>C8-C10-C11</f>
        <v>#REF!</v>
      </c>
      <c r="D9" s="130" t="s">
        <v>46</v>
      </c>
      <c r="E9" s="46">
        <v>22840961.414000001</v>
      </c>
    </row>
    <row r="10" spans="1:9" s="43" customFormat="1" ht="15.75" x14ac:dyDescent="0.2">
      <c r="A10" s="44"/>
      <c r="B10" s="45" t="s">
        <v>47</v>
      </c>
      <c r="C10" s="46" t="e">
        <f>#REF!*1.2</f>
        <v>#REF!</v>
      </c>
      <c r="D10" s="131"/>
      <c r="E10" s="46">
        <v>7725337.1999999993</v>
      </c>
    </row>
    <row r="11" spans="1:9" s="43" customFormat="1" ht="15.75" x14ac:dyDescent="0.2">
      <c r="A11" s="44"/>
      <c r="B11" s="45" t="s">
        <v>48</v>
      </c>
      <c r="C11" s="46" t="e">
        <f>#REF!*1.2</f>
        <v>#REF!</v>
      </c>
      <c r="D11" s="132"/>
      <c r="E11" s="46">
        <v>136045.17599999998</v>
      </c>
    </row>
    <row r="12" spans="1:9" s="43" customFormat="1" ht="15.75" x14ac:dyDescent="0.2">
      <c r="A12" s="39">
        <v>2</v>
      </c>
      <c r="B12" s="40" t="s">
        <v>49</v>
      </c>
      <c r="C12" s="41" t="e">
        <f>SUM(C13:C16)</f>
        <v>#REF!</v>
      </c>
      <c r="D12" s="47"/>
      <c r="E12" s="41">
        <v>6465226.3799999999</v>
      </c>
    </row>
    <row r="13" spans="1:9" s="51" customFormat="1" ht="15" x14ac:dyDescent="0.2">
      <c r="A13" s="44"/>
      <c r="B13" s="48" t="s">
        <v>12</v>
      </c>
      <c r="C13" s="49" t="e">
        <f>#REF!</f>
        <v>#REF!</v>
      </c>
      <c r="D13" s="50" t="e">
        <f>#REF!</f>
        <v>#REF!</v>
      </c>
      <c r="E13" s="49">
        <v>1228093.7519999999</v>
      </c>
    </row>
    <row r="14" spans="1:9" s="51" customFormat="1" ht="15" x14ac:dyDescent="0.2">
      <c r="A14" s="44"/>
      <c r="B14" s="48" t="s">
        <v>50</v>
      </c>
      <c r="C14" s="49" t="e">
        <f>#REF!</f>
        <v>#REF!</v>
      </c>
      <c r="D14" s="52" t="e">
        <f>#REF!</f>
        <v>#REF!</v>
      </c>
      <c r="E14" s="49">
        <v>3998787.048</v>
      </c>
    </row>
    <row r="15" spans="1:9" s="51" customFormat="1" ht="30" x14ac:dyDescent="0.2">
      <c r="A15" s="44"/>
      <c r="B15" s="48" t="s">
        <v>51</v>
      </c>
      <c r="C15" s="53" t="e">
        <f>#REF!</f>
        <v>#REF!</v>
      </c>
      <c r="D15" s="54" t="e">
        <f>#REF!</f>
        <v>#REF!</v>
      </c>
      <c r="E15" s="55" t="s">
        <v>52</v>
      </c>
    </row>
    <row r="16" spans="1:9" s="51" customFormat="1" ht="15" x14ac:dyDescent="0.2">
      <c r="A16" s="44"/>
      <c r="B16" s="48" t="s">
        <v>53</v>
      </c>
      <c r="C16" s="49" t="e">
        <f>#REF!</f>
        <v>#REF!</v>
      </c>
      <c r="D16" s="56" t="e">
        <f>#REF!</f>
        <v>#REF!</v>
      </c>
      <c r="E16" s="49">
        <v>1238345.58</v>
      </c>
    </row>
    <row r="17" spans="1:5" s="59" customFormat="1" ht="31.5" x14ac:dyDescent="0.2">
      <c r="A17" s="39"/>
      <c r="B17" s="57" t="s">
        <v>54</v>
      </c>
      <c r="C17" s="41" t="e">
        <f>C8+C12</f>
        <v>#REF!</v>
      </c>
      <c r="D17" s="58" t="s">
        <v>55</v>
      </c>
      <c r="E17" s="41">
        <v>37167570.170000002</v>
      </c>
    </row>
    <row r="18" spans="1:5" s="43" customFormat="1" ht="15.75" x14ac:dyDescent="0.2">
      <c r="A18" s="44"/>
      <c r="B18" s="45" t="s">
        <v>56</v>
      </c>
      <c r="C18" s="46" t="e">
        <f>C17-C19-C20</f>
        <v>#REF!</v>
      </c>
      <c r="D18" s="60"/>
      <c r="E18" s="46">
        <v>29306187.794000003</v>
      </c>
    </row>
    <row r="19" spans="1:5" s="43" customFormat="1" ht="15.75" x14ac:dyDescent="0.2">
      <c r="A19" s="44"/>
      <c r="B19" s="45" t="s">
        <v>47</v>
      </c>
      <c r="C19" s="46" t="e">
        <f>C10</f>
        <v>#REF!</v>
      </c>
      <c r="D19" s="56"/>
      <c r="E19" s="46">
        <v>7725337.1999999993</v>
      </c>
    </row>
    <row r="20" spans="1:5" s="43" customFormat="1" ht="15.75" x14ac:dyDescent="0.2">
      <c r="A20" s="44"/>
      <c r="B20" s="45" t="s">
        <v>48</v>
      </c>
      <c r="C20" s="46" t="e">
        <f>C11</f>
        <v>#REF!</v>
      </c>
      <c r="D20" s="56"/>
      <c r="E20" s="46">
        <v>136045.17599999998</v>
      </c>
    </row>
    <row r="21" spans="1:5" s="31" customFormat="1" ht="15.75" x14ac:dyDescent="0.2">
      <c r="A21" s="61"/>
      <c r="B21" s="62" t="s">
        <v>57</v>
      </c>
      <c r="C21" s="21"/>
      <c r="D21" s="63"/>
      <c r="E21" s="21"/>
    </row>
    <row r="22" spans="1:5" s="68" customFormat="1" ht="15" x14ac:dyDescent="0.2">
      <c r="A22" s="64"/>
      <c r="B22" s="65" t="s">
        <v>58</v>
      </c>
      <c r="C22" s="66" t="e">
        <f>#REF!+#REF!</f>
        <v>#REF!</v>
      </c>
      <c r="D22" s="67"/>
      <c r="E22" s="66">
        <v>19041.84</v>
      </c>
    </row>
    <row r="23" spans="1:5" s="68" customFormat="1" ht="15.75" x14ac:dyDescent="0.2">
      <c r="A23" s="69"/>
      <c r="B23" s="65" t="s">
        <v>59</v>
      </c>
      <c r="C23" s="66" t="e">
        <f>(C18+C19*0.2)/C22</f>
        <v>#REF!</v>
      </c>
      <c r="D23" s="70"/>
      <c r="E23" s="66">
        <f>(E18+E19*0.2)/E22</f>
        <v>1620.1824631443183</v>
      </c>
    </row>
  </sheetData>
  <mergeCells count="1">
    <mergeCell ref="D9:D1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A9D6-BDCA-4364-A168-FD68B4DED087}">
  <sheetPr>
    <tabColor rgb="FF92D050"/>
  </sheetPr>
  <dimension ref="A1:D39"/>
  <sheetViews>
    <sheetView workbookViewId="0">
      <selection activeCell="C17" sqref="C17"/>
    </sheetView>
  </sheetViews>
  <sheetFormatPr defaultRowHeight="12.75" x14ac:dyDescent="0.2"/>
  <cols>
    <col min="2" max="2" width="14" customWidth="1"/>
    <col min="3" max="3" width="56.28515625" customWidth="1"/>
    <col min="4" max="4" width="45.85546875" customWidth="1"/>
  </cols>
  <sheetData>
    <row r="1" spans="1:4" x14ac:dyDescent="0.2">
      <c r="C1" s="71" t="s">
        <v>60</v>
      </c>
    </row>
    <row r="2" spans="1:4" ht="15.75" x14ac:dyDescent="0.2">
      <c r="C2" s="72" t="s">
        <v>1</v>
      </c>
    </row>
    <row r="3" spans="1:4" ht="15.75" x14ac:dyDescent="0.2">
      <c r="C3" s="72"/>
    </row>
    <row r="4" spans="1:4" s="74" customFormat="1" x14ac:dyDescent="0.2">
      <c r="A4" s="73" t="s">
        <v>40</v>
      </c>
      <c r="B4" s="73" t="s">
        <v>61</v>
      </c>
      <c r="C4" s="73" t="s">
        <v>62</v>
      </c>
      <c r="D4" s="73" t="s">
        <v>63</v>
      </c>
    </row>
    <row r="5" spans="1:4" s="78" customFormat="1" ht="63.75" x14ac:dyDescent="0.2">
      <c r="A5" s="75">
        <v>1</v>
      </c>
      <c r="B5" s="76" t="s">
        <v>64</v>
      </c>
      <c r="C5" s="76" t="s">
        <v>65</v>
      </c>
      <c r="D5" s="77" t="s">
        <v>66</v>
      </c>
    </row>
    <row r="6" spans="1:4" ht="76.5" x14ac:dyDescent="0.2">
      <c r="A6" s="75">
        <v>2</v>
      </c>
      <c r="B6" s="76" t="s">
        <v>67</v>
      </c>
      <c r="C6" s="76" t="s">
        <v>68</v>
      </c>
      <c r="D6" s="77" t="s">
        <v>66</v>
      </c>
    </row>
    <row r="7" spans="1:4" ht="63.75" x14ac:dyDescent="0.2">
      <c r="A7" s="75">
        <v>3</v>
      </c>
      <c r="B7" s="76" t="s">
        <v>69</v>
      </c>
      <c r="C7" s="76" t="s">
        <v>70</v>
      </c>
      <c r="D7" s="77" t="s">
        <v>66</v>
      </c>
    </row>
    <row r="8" spans="1:4" ht="76.5" x14ac:dyDescent="0.2">
      <c r="A8" s="21"/>
      <c r="B8" s="76"/>
      <c r="C8" s="76" t="s">
        <v>71</v>
      </c>
      <c r="D8" s="77" t="s">
        <v>66</v>
      </c>
    </row>
    <row r="9" spans="1:4" ht="51" x14ac:dyDescent="0.2">
      <c r="A9" s="75">
        <v>4</v>
      </c>
      <c r="B9" s="21"/>
      <c r="C9" s="76" t="s">
        <v>72</v>
      </c>
      <c r="D9" s="77" t="s">
        <v>73</v>
      </c>
    </row>
    <row r="10" spans="1:4" x14ac:dyDescent="0.2">
      <c r="A10" s="75"/>
      <c r="B10" s="21"/>
      <c r="C10" s="76"/>
      <c r="D10" s="77" t="s">
        <v>74</v>
      </c>
    </row>
    <row r="39" spans="3:3" x14ac:dyDescent="0.2">
      <c r="C39" s="7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F57F-03FB-428B-863E-8CD346E8ED97}">
  <sheetPr>
    <tabColor rgb="FF92D050"/>
  </sheetPr>
  <dimension ref="A1:K19"/>
  <sheetViews>
    <sheetView view="pageBreakPreview" zoomScale="120" zoomScaleNormal="100" zoomScaleSheetLayoutView="120" workbookViewId="0">
      <selection activeCell="C17" sqref="C17"/>
    </sheetView>
  </sheetViews>
  <sheetFormatPr defaultColWidth="9.140625" defaultRowHeight="15" x14ac:dyDescent="0.25"/>
  <cols>
    <col min="1" max="1" width="6.140625" style="1" customWidth="1"/>
    <col min="2" max="2" width="15.28515625" style="1" customWidth="1"/>
    <col min="3" max="3" width="27.7109375" style="1" customWidth="1"/>
    <col min="4" max="4" width="7.140625" style="1" customWidth="1"/>
    <col min="5" max="5" width="5.5703125" style="1" customWidth="1"/>
    <col min="6" max="6" width="10.5703125" style="1" customWidth="1"/>
    <col min="7" max="7" width="9.42578125" style="1" customWidth="1"/>
    <col min="8" max="8" width="10.140625" style="1" customWidth="1"/>
    <col min="9" max="9" width="14.7109375" style="1" customWidth="1"/>
    <col min="10" max="10" width="9.140625" style="1"/>
    <col min="11" max="11" width="13.140625" style="1" bestFit="1" customWidth="1"/>
    <col min="12" max="16384" width="9.140625" style="1"/>
  </cols>
  <sheetData>
    <row r="1" spans="1:11" x14ac:dyDescent="0.25">
      <c r="I1" s="1" t="s">
        <v>75</v>
      </c>
    </row>
    <row r="2" spans="1:11" x14ac:dyDescent="0.25">
      <c r="A2" s="136" t="s">
        <v>76</v>
      </c>
      <c r="B2" s="136"/>
      <c r="C2" s="136"/>
      <c r="D2" s="136"/>
      <c r="E2" s="136"/>
      <c r="F2" s="136"/>
      <c r="G2" s="136"/>
      <c r="H2" s="136"/>
      <c r="I2" s="136"/>
    </row>
    <row r="3" spans="1:11" x14ac:dyDescent="0.25">
      <c r="A3" s="136" t="s">
        <v>77</v>
      </c>
      <c r="B3" s="136"/>
      <c r="C3" s="136"/>
      <c r="D3" s="136"/>
      <c r="E3" s="136"/>
      <c r="F3" s="136"/>
      <c r="G3" s="136"/>
      <c r="H3" s="136"/>
      <c r="I3" s="136"/>
    </row>
    <row r="5" spans="1:11" x14ac:dyDescent="0.25">
      <c r="A5" s="137" t="s">
        <v>2</v>
      </c>
      <c r="B5" s="139" t="s">
        <v>78</v>
      </c>
      <c r="C5" s="139" t="s">
        <v>79</v>
      </c>
      <c r="D5" s="139" t="s">
        <v>80</v>
      </c>
      <c r="E5" s="139" t="s">
        <v>81</v>
      </c>
      <c r="F5" s="141" t="s">
        <v>82</v>
      </c>
      <c r="G5" s="143" t="s">
        <v>83</v>
      </c>
      <c r="H5" s="144"/>
      <c r="I5" s="145"/>
    </row>
    <row r="6" spans="1:11" x14ac:dyDescent="0.25">
      <c r="A6" s="138"/>
      <c r="B6" s="140"/>
      <c r="C6" s="140"/>
      <c r="D6" s="140"/>
      <c r="E6" s="140"/>
      <c r="F6" s="142"/>
      <c r="G6" s="80" t="s">
        <v>84</v>
      </c>
      <c r="H6" s="81" t="s">
        <v>85</v>
      </c>
      <c r="I6" s="82" t="s">
        <v>0</v>
      </c>
    </row>
    <row r="7" spans="1:11" ht="44.25" x14ac:dyDescent="0.25">
      <c r="A7" s="83">
        <v>1</v>
      </c>
      <c r="B7" s="84" t="s">
        <v>86</v>
      </c>
      <c r="C7" s="83" t="s">
        <v>87</v>
      </c>
      <c r="D7" s="85" t="s">
        <v>88</v>
      </c>
      <c r="E7" s="85">
        <v>1</v>
      </c>
      <c r="F7" s="86">
        <v>26500</v>
      </c>
      <c r="G7" s="87">
        <v>6.8</v>
      </c>
      <c r="H7" s="87">
        <v>5.6</v>
      </c>
      <c r="I7" s="87">
        <f>(H7+G7)*E7</f>
        <v>12.399999999999999</v>
      </c>
    </row>
    <row r="8" spans="1:11" x14ac:dyDescent="0.25">
      <c r="A8" s="83">
        <v>2</v>
      </c>
      <c r="B8" s="83" t="s">
        <v>89</v>
      </c>
      <c r="C8" s="83" t="s">
        <v>90</v>
      </c>
      <c r="D8" s="85" t="s">
        <v>88</v>
      </c>
      <c r="E8" s="85">
        <v>2</v>
      </c>
      <c r="F8" s="86">
        <v>18460</v>
      </c>
      <c r="G8" s="87">
        <v>4.2</v>
      </c>
      <c r="H8" s="87">
        <v>3.3</v>
      </c>
      <c r="I8" s="87">
        <f t="shared" ref="I8:I9" si="0">(H8+G8)*E8</f>
        <v>15</v>
      </c>
    </row>
    <row r="9" spans="1:11" x14ac:dyDescent="0.25">
      <c r="A9" s="83">
        <v>3</v>
      </c>
      <c r="B9" s="83" t="s">
        <v>91</v>
      </c>
      <c r="C9" s="83" t="s">
        <v>92</v>
      </c>
      <c r="D9" s="85" t="s">
        <v>88</v>
      </c>
      <c r="E9" s="85">
        <v>2</v>
      </c>
      <c r="F9" s="86">
        <v>68400</v>
      </c>
      <c r="G9" s="87">
        <v>11.5</v>
      </c>
      <c r="H9" s="87">
        <v>9</v>
      </c>
      <c r="I9" s="87">
        <f t="shared" si="0"/>
        <v>41</v>
      </c>
    </row>
    <row r="10" spans="1:11" x14ac:dyDescent="0.25">
      <c r="A10" s="88">
        <v>4</v>
      </c>
      <c r="B10" s="146" t="s">
        <v>93</v>
      </c>
      <c r="C10" s="147"/>
      <c r="D10" s="147"/>
      <c r="E10" s="147"/>
      <c r="F10" s="147"/>
      <c r="G10" s="148"/>
      <c r="H10" s="11"/>
      <c r="I10" s="10">
        <f>SUM(I7:I9)</f>
        <v>68.400000000000006</v>
      </c>
      <c r="K10" s="89"/>
    </row>
    <row r="11" spans="1:11" x14ac:dyDescent="0.25">
      <c r="A11" s="88">
        <v>5</v>
      </c>
      <c r="B11" s="146" t="s">
        <v>94</v>
      </c>
      <c r="C11" s="147"/>
      <c r="D11" s="147"/>
      <c r="E11" s="147"/>
      <c r="F11" s="147"/>
      <c r="G11" s="147"/>
      <c r="H11" s="148"/>
      <c r="I11" s="10">
        <v>272.47000000000003</v>
      </c>
    </row>
    <row r="12" spans="1:11" x14ac:dyDescent="0.25">
      <c r="A12" s="88">
        <v>6</v>
      </c>
      <c r="B12" s="146" t="s">
        <v>95</v>
      </c>
      <c r="C12" s="147"/>
      <c r="D12" s="147"/>
      <c r="E12" s="147"/>
      <c r="F12" s="147"/>
      <c r="G12" s="147"/>
      <c r="H12" s="148"/>
      <c r="I12" s="90">
        <f>I10*I11</f>
        <v>18636.948000000004</v>
      </c>
    </row>
    <row r="13" spans="1:11" x14ac:dyDescent="0.25">
      <c r="A13" s="88">
        <v>7</v>
      </c>
      <c r="B13" s="146" t="s">
        <v>96</v>
      </c>
      <c r="C13" s="147"/>
      <c r="D13" s="147"/>
      <c r="E13" s="147"/>
      <c r="F13" s="147"/>
      <c r="G13" s="147"/>
      <c r="H13" s="148"/>
      <c r="I13" s="91">
        <f>I12*1.2</f>
        <v>22364.337600000003</v>
      </c>
    </row>
    <row r="14" spans="1:11" x14ac:dyDescent="0.25">
      <c r="A14" s="88">
        <v>8</v>
      </c>
      <c r="B14" s="146" t="s">
        <v>97</v>
      </c>
      <c r="C14" s="147"/>
      <c r="D14" s="147"/>
      <c r="E14" s="147"/>
      <c r="F14" s="147"/>
      <c r="G14" s="147"/>
      <c r="H14" s="148"/>
      <c r="I14" s="91">
        <f>I12*0.65</f>
        <v>12114.016200000004</v>
      </c>
    </row>
    <row r="15" spans="1:11" x14ac:dyDescent="0.25">
      <c r="A15" s="88">
        <v>9</v>
      </c>
      <c r="B15" s="133" t="s">
        <v>98</v>
      </c>
      <c r="C15" s="134"/>
      <c r="D15" s="134"/>
      <c r="E15" s="134"/>
      <c r="F15" s="134"/>
      <c r="G15" s="134"/>
      <c r="H15" s="135"/>
      <c r="I15" s="92">
        <f>SUM(I12:I14)</f>
        <v>53115.301800000008</v>
      </c>
    </row>
    <row r="19" spans="2:2" ht="15.75" x14ac:dyDescent="0.25">
      <c r="B19" s="13" t="s">
        <v>99</v>
      </c>
    </row>
  </sheetData>
  <mergeCells count="15">
    <mergeCell ref="B15:H15"/>
    <mergeCell ref="A2:I2"/>
    <mergeCell ref="A3:I3"/>
    <mergeCell ref="A5:A6"/>
    <mergeCell ref="B5:B6"/>
    <mergeCell ref="C5:C6"/>
    <mergeCell ref="D5:D6"/>
    <mergeCell ref="E5:E6"/>
    <mergeCell ref="F5:F6"/>
    <mergeCell ref="G5:I5"/>
    <mergeCell ref="B10:G10"/>
    <mergeCell ref="B11:H11"/>
    <mergeCell ref="B12:H12"/>
    <mergeCell ref="B13:H13"/>
    <mergeCell ref="B14:H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66AA-4A74-4486-B5A3-C1D6140C8A11}">
  <sheetPr>
    <tabColor rgb="FF92D050"/>
  </sheetPr>
  <dimension ref="A1"/>
  <sheetViews>
    <sheetView topLeftCell="F4"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D06D9-5EAF-4A66-AAC1-79BD18442A7A}">
  <sheetPr>
    <tabColor rgb="FF92D050"/>
  </sheetPr>
  <dimension ref="A1"/>
  <sheetViews>
    <sheetView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3AD75-4B7D-423E-AE91-1481939373FD}">
  <sheetPr>
    <tabColor rgb="FF92D050"/>
  </sheetPr>
  <dimension ref="A1:D17"/>
  <sheetViews>
    <sheetView workbookViewId="0">
      <selection activeCell="C17" sqref="C17"/>
    </sheetView>
  </sheetViews>
  <sheetFormatPr defaultRowHeight="12.75" x14ac:dyDescent="0.2"/>
  <cols>
    <col min="2" max="2" width="45.5703125" customWidth="1"/>
    <col min="3" max="3" width="12.85546875" customWidth="1"/>
    <col min="4" max="4" width="11" customWidth="1"/>
  </cols>
  <sheetData>
    <row r="1" spans="1:4" ht="22.15" customHeight="1" x14ac:dyDescent="0.2">
      <c r="B1" s="149" t="s">
        <v>17</v>
      </c>
      <c r="C1" s="149"/>
      <c r="D1" s="149"/>
    </row>
    <row r="3" spans="1:4" x14ac:dyDescent="0.2">
      <c r="B3" s="18" t="s">
        <v>18</v>
      </c>
      <c r="C3" s="18" t="s">
        <v>19</v>
      </c>
      <c r="D3" s="18" t="s">
        <v>20</v>
      </c>
    </row>
    <row r="4" spans="1:4" ht="13.5" x14ac:dyDescent="0.2">
      <c r="A4" s="19">
        <v>1</v>
      </c>
      <c r="B4" s="20" t="s">
        <v>21</v>
      </c>
      <c r="C4" s="19" t="s">
        <v>22</v>
      </c>
      <c r="D4" s="19">
        <v>21.98</v>
      </c>
    </row>
    <row r="5" spans="1:4" ht="13.5" x14ac:dyDescent="0.2">
      <c r="A5" s="19">
        <v>2</v>
      </c>
      <c r="B5" s="20" t="s">
        <v>23</v>
      </c>
      <c r="C5" s="19" t="s">
        <v>24</v>
      </c>
      <c r="D5" s="19">
        <v>49</v>
      </c>
    </row>
    <row r="6" spans="1:4" ht="13.5" x14ac:dyDescent="0.2">
      <c r="A6" s="19">
        <v>3</v>
      </c>
      <c r="B6" s="20" t="s">
        <v>25</v>
      </c>
      <c r="C6" s="19" t="s">
        <v>26</v>
      </c>
      <c r="D6" s="22">
        <f>D4/49</f>
        <v>0.44857142857142857</v>
      </c>
    </row>
    <row r="7" spans="1:4" ht="26.45" customHeight="1" x14ac:dyDescent="0.2">
      <c r="A7" s="19">
        <v>4</v>
      </c>
      <c r="B7" s="25" t="s">
        <v>27</v>
      </c>
      <c r="C7" s="19" t="s">
        <v>28</v>
      </c>
      <c r="D7" s="19">
        <v>7</v>
      </c>
    </row>
    <row r="8" spans="1:4" ht="13.5" x14ac:dyDescent="0.2">
      <c r="A8" s="18">
        <v>5</v>
      </c>
      <c r="B8" s="23" t="s">
        <v>29</v>
      </c>
      <c r="C8" s="26" t="s">
        <v>30</v>
      </c>
      <c r="D8" s="19">
        <v>960</v>
      </c>
    </row>
    <row r="9" spans="1:4" x14ac:dyDescent="0.2">
      <c r="A9" s="21"/>
      <c r="B9" s="21"/>
      <c r="C9" s="19"/>
      <c r="D9" s="19"/>
    </row>
    <row r="10" spans="1:4" ht="13.5" x14ac:dyDescent="0.2">
      <c r="A10" s="150" t="s">
        <v>31</v>
      </c>
      <c r="B10" s="151"/>
      <c r="C10" s="19" t="s">
        <v>30</v>
      </c>
      <c r="D10" s="22">
        <f>D6*D8/D7*2</f>
        <v>123.03673469387755</v>
      </c>
    </row>
    <row r="11" spans="1:4" x14ac:dyDescent="0.2">
      <c r="D11" s="24"/>
    </row>
    <row r="12" spans="1:4" x14ac:dyDescent="0.2">
      <c r="A12" s="16" t="s">
        <v>32</v>
      </c>
    </row>
    <row r="13" spans="1:4" ht="21.6" customHeight="1" x14ac:dyDescent="0.2">
      <c r="A13" s="16" t="s">
        <v>33</v>
      </c>
      <c r="C13" t="s">
        <v>30</v>
      </c>
      <c r="D13" s="18">
        <v>960</v>
      </c>
    </row>
    <row r="14" spans="1:4" x14ac:dyDescent="0.2">
      <c r="A14" s="16"/>
    </row>
    <row r="15" spans="1:4" x14ac:dyDescent="0.2">
      <c r="A15" s="16"/>
    </row>
    <row r="17" spans="1:4" x14ac:dyDescent="0.2">
      <c r="A17" s="16" t="s">
        <v>14</v>
      </c>
      <c r="B17" s="16"/>
      <c r="C17" s="15" t="s">
        <v>13</v>
      </c>
      <c r="D17" s="16"/>
    </row>
  </sheetData>
  <mergeCells count="2">
    <mergeCell ref="B1:D1"/>
    <mergeCell ref="A10:B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Протокол</vt:lpstr>
      <vt:lpstr>СЗ к тенд</vt:lpstr>
      <vt:lpstr>Расшифровка ФИ</vt:lpstr>
      <vt:lpstr>Ответы на замечания</vt:lpstr>
      <vt:lpstr>Кальк-я к Расч№2</vt:lpstr>
      <vt:lpstr>гостиница (2)</vt:lpstr>
      <vt:lpstr>маршрут (2)</vt:lpstr>
      <vt:lpstr>перевозка рабочих (2)</vt:lpstr>
      <vt:lpstr>Протокол!Область_печати</vt:lpstr>
      <vt:lpstr>'Расшифровка ФИ'!Область_печати</vt:lpstr>
      <vt:lpstr>'СЗ к тенд'!Область_печати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Яна Борисовна</dc:creator>
  <cp:lastModifiedBy>Семенова Яна Борисовна</cp:lastModifiedBy>
  <cp:lastPrinted>2024-09-17T09:32:37Z</cp:lastPrinted>
  <dcterms:created xsi:type="dcterms:W3CDTF">2002-08-29T05:21:43Z</dcterms:created>
  <dcterms:modified xsi:type="dcterms:W3CDTF">2024-12-12T10:26:25Z</dcterms:modified>
</cp:coreProperties>
</file>